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725" windowHeight="6960" activeTab="0"/>
  </bookViews>
  <sheets>
    <sheet name="datos" sheetId="1" r:id="rId1"/>
    <sheet name="resultados" sheetId="2" r:id="rId2"/>
    <sheet name="precios" sheetId="3" r:id="rId3"/>
    <sheet name="Hoja1" sheetId="4" r:id="rId4"/>
    <sheet name="Hoja4" sheetId="5" r:id="rId5"/>
  </sheets>
  <definedNames>
    <definedName name="SHEET_TITLE" localSheetId="0">"datos"</definedName>
    <definedName name="SHEET_TITLE" localSheetId="1">"resultados"</definedName>
    <definedName name="SHEET_TITLE" localSheetId="2">"precios"</definedName>
    <definedName name="SHEET_TITLE" localSheetId="3">"Hoja1"</definedName>
    <definedName name="SHEET_TITLE" localSheetId="4">"Hoja4"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<sst xmlns="http://schemas.openxmlformats.org/spreadsheetml/2006/main" count="94" uniqueCount="76">
  <si>
    <t>exp</t>
  </si>
  <si>
    <t>semestre</t>
  </si>
  <si>
    <t>mat</t>
  </si>
  <si>
    <t>mf</t>
  </si>
  <si>
    <t>seq</t>
  </si>
  <si>
    <t>test</t>
  </si>
  <si>
    <t>num test</t>
  </si>
  <si>
    <t>nt+seq</t>
  </si>
  <si>
    <t>nt-seq</t>
  </si>
  <si>
    <t>m11t</t>
  </si>
  <si>
    <t>mNt</t>
  </si>
  <si>
    <t>1p</t>
  </si>
  <si>
    <t>2p/2</t>
  </si>
  <si>
    <t>mep</t>
  </si>
  <si>
    <t>curso</t>
  </si>
  <si>
    <t>medt</t>
  </si>
  <si>
    <t>mt+seq</t>
  </si>
  <si>
    <t>mt-seq</t>
  </si>
  <si>
    <t>sumnot</t>
  </si>
  <si>
    <t>PA C1</t>
  </si>
  <si>
    <t>PA C2</t>
  </si>
  <si>
    <t>PA C3</t>
  </si>
  <si>
    <t>PA C4</t>
  </si>
  <si>
    <t>AI</t>
  </si>
  <si>
    <t>A+Seq</t>
  </si>
  <si>
    <t>A-Seq</t>
  </si>
  <si>
    <t>1S+A+Seq</t>
  </si>
  <si>
    <t>1S+A-Seq</t>
  </si>
  <si>
    <t>1S+Seq</t>
  </si>
  <si>
    <t>1S-Seq</t>
  </si>
  <si>
    <t>2S+Seq</t>
  </si>
  <si>
    <t>2S+A+Seq</t>
  </si>
  <si>
    <t>2S-Seq</t>
  </si>
  <si>
    <t>2S+A-Seq</t>
  </si>
  <si>
    <t>3S+Seq</t>
  </si>
  <si>
    <t>3S-Seq</t>
  </si>
  <si>
    <t>3S+A-Seq</t>
  </si>
  <si>
    <t>1s</t>
  </si>
  <si>
    <t>2s</t>
  </si>
  <si>
    <t>3s</t>
  </si>
  <si>
    <t>tamaño de la muestra</t>
  </si>
  <si>
    <t>primera vez</t>
  </si>
  <si>
    <t>segunda vez</t>
  </si>
  <si>
    <t>tercera vez</t>
  </si>
  <si>
    <t>Cumplen con la secuencia del P2010</t>
  </si>
  <si>
    <t>Probablemente aprobarán este semestre</t>
  </si>
  <si>
    <t>Probablemente repetirán</t>
  </si>
  <si>
    <t>No cumplen (no debieran haberse matriculado)</t>
  </si>
  <si>
    <t>Total del alumnado</t>
  </si>
  <si>
    <t>Número de semestres necesarios para superar la asignatura</t>
  </si>
  <si>
    <t>Número de semestres "monetarios" para superar la asignatura</t>
  </si>
  <si>
    <t>1S+A</t>
  </si>
  <si>
    <t>1S-A</t>
  </si>
  <si>
    <t>2S+A</t>
  </si>
  <si>
    <t>2S-A</t>
  </si>
  <si>
    <t>3S+A</t>
  </si>
  <si>
    <t>3S-A</t>
  </si>
  <si>
    <t>Tasa de "éxito" actual</t>
  </si>
  <si>
    <t>Tasa de "éxito" si se aplicaran las secuencias previstas</t>
  </si>
  <si>
    <t>&gt;=</t>
  </si>
  <si>
    <t>Alumnos matriculados acualmente</t>
  </si>
  <si>
    <t>Carga docente actual según criterios UPM</t>
  </si>
  <si>
    <t>Alumnos matriculados si se aplicaran las secuencias</t>
  </si>
  <si>
    <t>Alumnado que cumple con la secuencia</t>
  </si>
  <si>
    <t>Cursan por primera vez</t>
  </si>
  <si>
    <t>Cursan por segunda vez</t>
  </si>
  <si>
    <t>Cursan por tercera vez</t>
  </si>
  <si>
    <t>Probablemente necesitarán cursar otro semestre</t>
  </si>
  <si>
    <t>1S-A+Seq</t>
  </si>
  <si>
    <t>Nivel de experimentalidad</t>
  </si>
  <si>
    <t xml:space="preserve"> Primera</t>
  </si>
  <si>
    <t>Seguna</t>
  </si>
  <si>
    <t xml:space="preserve">Tercera </t>
  </si>
  <si>
    <t>Cuarta y +</t>
  </si>
  <si>
    <t>matrículas</t>
  </si>
  <si>
    <t>2r</t>
  </si>
</sst>
</file>

<file path=xl/styles.xml><?xml version="1.0" encoding="utf-8"?>
<styleSheet xmlns="http://schemas.openxmlformats.org/spreadsheetml/2006/main">
  <numFmts count="11">
    <numFmt numFmtId="5" formatCode="$#,##0_);($#,##0)"/>
    <numFmt numFmtId="6" formatCode="$#,##0_);[Red]($#,##0)"/>
    <numFmt numFmtId="7" formatCode="$#,##0.00_);($#,##0.00)"/>
    <numFmt numFmtId="8" formatCode="$#,##0.00_);[Red]($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  <numFmt numFmtId="50" formatCode="0.0"/>
    <numFmt numFmtId="51" formatCode="0.000"/>
    <numFmt numFmtId="52" formatCode="0.0%"/>
  </numFmts>
  <fonts count="2">
    <font>
      <sz val="10"/>
      <color indexed="8"/>
      <name val="Sans"/>
      <family val="0"/>
    </font>
    <font>
      <b/>
      <sz val="10"/>
      <color indexed="8"/>
      <name val="Sans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1" fontId="0" fillId="0" borderId="0" xfId="0" applyNumberFormat="1" applyFont="1" applyFill="1" applyBorder="1" applyAlignment="1" applyProtection="1">
      <alignment/>
      <protection/>
    </xf>
    <xf numFmtId="50" fontId="0" fillId="0" borderId="0" xfId="0" applyNumberFormat="1" applyFont="1" applyFill="1" applyBorder="1" applyAlignment="1" applyProtection="1">
      <alignment/>
      <protection/>
    </xf>
    <xf numFmtId="2" fontId="0" fillId="0" borderId="0" xfId="0" applyNumberFormat="1" applyFont="1" applyFill="1" applyBorder="1" applyAlignment="1" applyProtection="1">
      <alignment/>
      <protection/>
    </xf>
    <xf numFmtId="10" fontId="0" fillId="0" borderId="0" xfId="0" applyNumberFormat="1" applyFont="1" applyFill="1" applyBorder="1" applyAlignment="1" applyProtection="1">
      <alignment/>
      <protection/>
    </xf>
    <xf numFmtId="51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52" fontId="0" fillId="0" borderId="1" xfId="0" applyNumberFormat="1" applyFont="1" applyFill="1" applyBorder="1" applyAlignment="1" applyProtection="1">
      <alignment/>
      <protection/>
    </xf>
    <xf numFmtId="0" fontId="1" fillId="0" borderId="1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right"/>
      <protection/>
    </xf>
    <xf numFmtId="0" fontId="0" fillId="0" borderId="1" xfId="0" applyNumberFormat="1" applyFont="1" applyFill="1" applyBorder="1" applyAlignment="1" applyProtection="1">
      <alignment/>
      <protection/>
    </xf>
    <xf numFmtId="52" fontId="0" fillId="0" borderId="0" xfId="0" applyNumberFormat="1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C7C7C7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W46"/>
  <sheetViews>
    <sheetView tabSelected="1" zoomScaleSheetLayoutView="1" workbookViewId="0" topLeftCell="A1">
      <pane xSplit="1" ySplit="2" topLeftCell="B3" activePane="bottomRight" state="frozen"/>
      <selection pane="topLeft" activeCell="C5" sqref="C5"/>
      <selection pane="topRight" activeCell="C5" sqref="C5"/>
      <selection pane="bottomLeft" activeCell="C5" sqref="C5"/>
      <selection pane="bottomRight" activeCell="C5" sqref="C5"/>
    </sheetView>
  </sheetViews>
  <sheetFormatPr defaultColWidth="9.00390625" defaultRowHeight="12.75"/>
  <cols>
    <col min="1" max="5" width="9.125" style="7" customWidth="1"/>
    <col min="6" max="6" width="9.125" style="7" hidden="1" customWidth="1"/>
    <col min="7" max="20" width="9.125" style="7" customWidth="1"/>
    <col min="21" max="22" width="9.125" style="3" customWidth="1"/>
    <col min="23" max="23" width="9.125" style="7" customWidth="1"/>
    <col min="24" max="24" width="9.125" style="7" hidden="1" customWidth="1"/>
    <col min="25" max="256" width="9.125" style="7" customWidth="1"/>
  </cols>
  <sheetData>
    <row r="1" spans="1:49" ht="12.75">
      <c r="A1" s="7">
        <f>COUNT(A3:A42)</f>
        <v>40</v>
      </c>
      <c r="E1" s="7">
        <f>COUNTIF(E3:E42,"=1")</f>
        <v>20</v>
      </c>
      <c r="S1" s="5">
        <f>SUM(S3:S42)/E1/12</f>
        <v>0.7625000000000001</v>
      </c>
      <c r="T1" s="5">
        <f>SUM(T3:T42)/(A1-E1)/12</f>
        <v>0.6333333333333333</v>
      </c>
      <c r="W1" s="6"/>
      <c r="AB1" s="6">
        <f>SUM(AB3:AB42)/COUNT(AB3:AB42)</f>
        <v>3.8427999999999995</v>
      </c>
      <c r="AC1" s="6">
        <f>SUM(AC3:AC42)/COUNT(AC3:AC42)</f>
        <v>4.871</v>
      </c>
      <c r="AD1" s="6">
        <f>SUM(AD3:AD42)/COUNT(AD3:AD42)</f>
        <v>2.8146</v>
      </c>
      <c r="AF1" s="7">
        <f>COUNTIF(AF3:AF42,"=1")</f>
        <v>22</v>
      </c>
      <c r="AG1" s="7">
        <f>COUNTIF(AG3:AG42,"=1")</f>
        <v>25</v>
      </c>
      <c r="AH1" s="7">
        <f>COUNTIF(AH3:AH42,"=1")</f>
        <v>24</v>
      </c>
      <c r="AI1" s="7">
        <f>COUNTIF(AI3:AI42,"=1")</f>
        <v>27</v>
      </c>
      <c r="AJ1" s="7">
        <f>COUNTIF(AJ3:AJ42,"=1")</f>
        <v>27</v>
      </c>
      <c r="AK1" s="7">
        <f>COUNTIF(AK3:AK42,"=1")</f>
        <v>16</v>
      </c>
      <c r="AL1" s="7">
        <f>COUNTIF(AL3:AL42,"=1")</f>
        <v>11</v>
      </c>
      <c r="AM1" s="7">
        <f>COUNTIF(AM3:AM42,"=1")</f>
        <v>15</v>
      </c>
      <c r="AN1" s="7">
        <f>COUNTIF(AN3:AN42,"=1")</f>
        <v>6</v>
      </c>
      <c r="AO1" s="7">
        <f>COUNTIF(AO3:AO42,"=1")</f>
        <v>19</v>
      </c>
      <c r="AP1" s="7">
        <f>COUNTIF(AP3:AP42,"=1")</f>
        <v>14</v>
      </c>
      <c r="AQ1" s="7">
        <f>COUNTIF(AQ3:AQ42,"=1")</f>
        <v>1</v>
      </c>
      <c r="AR1" s="7">
        <f>COUNTIF(AR3:AR42,"=1")</f>
        <v>1</v>
      </c>
      <c r="AS1" s="7">
        <f>COUNTIF(AS3:AS42,"=1")</f>
        <v>5</v>
      </c>
      <c r="AT1" s="7">
        <f>COUNTIF(AT3:AT42,"=1")</f>
        <v>5</v>
      </c>
      <c r="AU1" s="7">
        <f>COUNTIF(AU3:AU42,"=1")</f>
        <v>0</v>
      </c>
      <c r="AV1" s="7">
        <f>COUNTIF(AV3:AV42,"=1")</f>
        <v>1</v>
      </c>
      <c r="AW1" s="7">
        <f>COUNTIF(AW3:AW42,"=1")</f>
        <v>0</v>
      </c>
    </row>
    <row r="2" spans="1:49" ht="12.75">
      <c r="A2" s="7" t="s">
        <v>0</v>
      </c>
      <c r="B2" s="7" t="s">
        <v>1</v>
      </c>
      <c r="C2" s="7" t="s">
        <v>2</v>
      </c>
      <c r="D2" s="7" t="s">
        <v>3</v>
      </c>
      <c r="E2" s="7" t="s">
        <v>4</v>
      </c>
      <c r="G2" s="7" t="s">
        <v>5</v>
      </c>
      <c r="R2" s="7" t="s">
        <v>6</v>
      </c>
      <c r="S2" s="7" t="s">
        <v>7</v>
      </c>
      <c r="T2" s="7" t="s">
        <v>8</v>
      </c>
      <c r="U2" s="3" t="s">
        <v>9</v>
      </c>
      <c r="V2" s="3" t="s">
        <v>10</v>
      </c>
      <c r="W2" s="7" t="s">
        <v>11</v>
      </c>
      <c r="X2" s="7" t="s">
        <v>0</v>
      </c>
      <c r="Y2" s="7" t="s">
        <v>12</v>
      </c>
      <c r="Z2" s="7" t="s">
        <v>13</v>
      </c>
      <c r="AA2" s="7" t="s">
        <v>14</v>
      </c>
      <c r="AB2" s="7" t="s">
        <v>15</v>
      </c>
      <c r="AC2" s="7" t="s">
        <v>16</v>
      </c>
      <c r="AD2" s="7" t="s">
        <v>17</v>
      </c>
      <c r="AE2" s="7" t="s">
        <v>18</v>
      </c>
      <c r="AF2" s="7" t="s">
        <v>19</v>
      </c>
      <c r="AG2" s="7" t="s">
        <v>20</v>
      </c>
      <c r="AH2" s="7" t="s">
        <v>21</v>
      </c>
      <c r="AI2" s="7" t="s">
        <v>22</v>
      </c>
      <c r="AJ2" s="7" t="s">
        <v>23</v>
      </c>
      <c r="AK2" s="7" t="s">
        <v>24</v>
      </c>
      <c r="AL2" s="7" t="s">
        <v>25</v>
      </c>
      <c r="AM2" s="7" t="s">
        <v>26</v>
      </c>
      <c r="AN2" s="7" t="s">
        <v>27</v>
      </c>
      <c r="AO2" s="7" t="s">
        <v>28</v>
      </c>
      <c r="AP2" s="7" t="s">
        <v>29</v>
      </c>
      <c r="AQ2" s="7" t="s">
        <v>30</v>
      </c>
      <c r="AR2" s="7" t="s">
        <v>31</v>
      </c>
      <c r="AS2" s="7" t="s">
        <v>32</v>
      </c>
      <c r="AT2" s="7" t="s">
        <v>33</v>
      </c>
      <c r="AU2" s="7" t="s">
        <v>34</v>
      </c>
      <c r="AV2" s="7" t="s">
        <v>35</v>
      </c>
      <c r="AW2" s="7" t="s">
        <v>36</v>
      </c>
    </row>
    <row r="3" spans="1:49" ht="12.75">
      <c r="A3" s="7">
        <v>11430</v>
      </c>
      <c r="B3" s="7">
        <v>2</v>
      </c>
      <c r="C3" s="7">
        <v>1</v>
      </c>
      <c r="D3" s="7">
        <v>0</v>
      </c>
      <c r="E3" s="7">
        <f>IF(AND(C3,D3),1,0)</f>
        <v>0</v>
      </c>
      <c r="F3" s="7">
        <v>11430</v>
      </c>
      <c r="G3" s="4">
        <v>7.5</v>
      </c>
      <c r="H3" s="4">
        <v>7.5</v>
      </c>
      <c r="I3" s="4">
        <v>3</v>
      </c>
      <c r="J3" s="4">
        <v>5</v>
      </c>
      <c r="K3" s="4">
        <v>8</v>
      </c>
      <c r="L3" s="4">
        <v>0.5</v>
      </c>
      <c r="M3" s="4">
        <v>3.2</v>
      </c>
      <c r="N3" s="4">
        <v>3</v>
      </c>
      <c r="O3" s="4">
        <v>2</v>
      </c>
      <c r="Q3" s="4"/>
      <c r="R3" s="7">
        <v>10</v>
      </c>
      <c r="S3" s="2">
        <f>IF(E3,R3,0)</f>
        <v>0</v>
      </c>
      <c r="T3" s="2">
        <f>IF(NOT(E3),R3,0)</f>
        <v>10</v>
      </c>
      <c r="U3" s="3">
        <f>SUM(G3:Q3)/11</f>
        <v>3.6090909090909093</v>
      </c>
      <c r="V3" s="3">
        <f>SUM(G3:Q3)/R3</f>
        <v>3.97</v>
      </c>
      <c r="W3" s="4">
        <v>5.5</v>
      </c>
      <c r="X3" s="7">
        <v>11430</v>
      </c>
      <c r="Y3" s="7">
        <v>1.1</v>
      </c>
      <c r="Z3" s="4">
        <f>W3/2+Y3</f>
        <v>3.85</v>
      </c>
      <c r="AA3" s="7">
        <v>4.5</v>
      </c>
      <c r="AB3" s="7">
        <v>4.47</v>
      </c>
      <c r="AC3" s="6" t="str">
        <f>IF(AND($E3,ISNUMBER($AB3)),$AB3,"")</f>
        <v/>
      </c>
      <c r="AD3" s="6">
        <f>IF(AND(NOT($E3),ISNUMBER($AB3)),$AB3,"")</f>
        <v>4.47</v>
      </c>
      <c r="AE3" s="4">
        <f>Z3+AB3</f>
        <v>8.32</v>
      </c>
      <c r="AF3" s="7">
        <f>IF(OR($Z3&gt;=4,$AB3&gt;=4,$AA3&gt;=5),1,0)</f>
        <v>1</v>
      </c>
      <c r="AG3" s="7">
        <f>IF(OR($Z3&gt;=4,$AB3&gt;=4,$R3&gt;=10),1,0)</f>
        <v>1</v>
      </c>
      <c r="AH3" s="7">
        <f>IF(OR($Z3&gt;=4,$AB3&gt;=5,$R3&gt;=10),1,0)</f>
        <v>1</v>
      </c>
      <c r="AI3" s="7">
        <f>IF(OR($Z3&gt;=$AI$43,$AB3&gt;=$AI$43,$R3&gt;=10),1,0)</f>
        <v>1</v>
      </c>
      <c r="AJ3" s="7">
        <f>INDIRECT(CONCATENATE($AJ$2,CELL("row",AJ3)))</f>
        <v>1</v>
      </c>
      <c r="AK3" s="7">
        <f>IF(AND($AJ3,$E3),1,0)</f>
        <v>0</v>
      </c>
      <c r="AL3" s="7">
        <f>IF(AND(AJ3,NOT(E3)),1,0)</f>
        <v>1</v>
      </c>
      <c r="AM3" s="7">
        <f>IF(AND($AJ3,$E3,$B3=1),1,0)</f>
        <v>0</v>
      </c>
      <c r="AN3" s="7">
        <f>IF(AND($AJ3,NOT($E3),$B3=1),1,0)</f>
        <v>0</v>
      </c>
      <c r="AO3" s="7">
        <f>IF(AND($E3,$B3=1),1,0)</f>
        <v>0</v>
      </c>
      <c r="AP3" s="7">
        <f>IF(AND(NOT($E3),$B3=1),1,0)</f>
        <v>0</v>
      </c>
      <c r="AQ3" s="7">
        <f>IF(AND($E3,$B3=2),1,0)</f>
        <v>0</v>
      </c>
      <c r="AR3" s="7">
        <f>IF(AND($AJ3,$E3,$B3=2),1,0)</f>
        <v>0</v>
      </c>
      <c r="AS3" s="7">
        <f>IF(AND(NOT($E3),$B3=2),1,0)</f>
        <v>1</v>
      </c>
      <c r="AT3" s="7">
        <f>IF(AND($AJ3,NOT($E3),$B3=2),1,0)</f>
        <v>1</v>
      </c>
      <c r="AU3" s="7">
        <f>IF(AND($E3,$B3=3),1,0)</f>
        <v>0</v>
      </c>
      <c r="AV3" s="7">
        <f>IF(AND(NOT($E3),$B3=3),1,0)</f>
        <v>0</v>
      </c>
      <c r="AW3" s="7">
        <f>IF(AND($AJ3,NOT($E3),$B3=3),1,0)</f>
        <v>0</v>
      </c>
    </row>
    <row r="4" spans="1:49" ht="12.75">
      <c r="A4" s="7">
        <v>13210</v>
      </c>
      <c r="B4" s="7">
        <v>3</v>
      </c>
      <c r="C4" s="7">
        <v>1</v>
      </c>
      <c r="D4" s="7">
        <v>0</v>
      </c>
      <c r="E4" s="7">
        <f>IF(AND(C4,D4),1,0)</f>
        <v>0</v>
      </c>
      <c r="F4" s="7">
        <v>13210</v>
      </c>
      <c r="G4" s="4">
        <v>5</v>
      </c>
      <c r="H4" s="4">
        <v>5.5</v>
      </c>
      <c r="J4" s="4"/>
      <c r="K4" s="4"/>
      <c r="L4" s="4"/>
      <c r="M4" s="4"/>
      <c r="N4" s="4"/>
      <c r="O4" s="4"/>
      <c r="P4" s="4"/>
      <c r="Q4" s="4"/>
      <c r="R4" s="7">
        <v>2</v>
      </c>
      <c r="S4" s="2">
        <f>IF(E4,R4,0)</f>
        <v>0</v>
      </c>
      <c r="T4" s="2">
        <f>IF(NOT(E4),R4,0)</f>
        <v>2</v>
      </c>
      <c r="U4" s="3">
        <f>SUM(G4:Q4)/11</f>
        <v>0.9545454545454546</v>
      </c>
      <c r="V4" s="3">
        <f>SUM(G4:Q4)/R4</f>
        <v>5.25</v>
      </c>
      <c r="W4" s="4">
        <v>1.5</v>
      </c>
      <c r="X4" s="7">
        <v>13210</v>
      </c>
      <c r="Z4" s="4">
        <f>W4/2+Y4</f>
        <v>0.75</v>
      </c>
      <c r="AA4" s="7">
        <v>1.2</v>
      </c>
      <c r="AB4" s="7">
        <v>1.19</v>
      </c>
      <c r="AC4" s="6" t="str">
        <f>IF(AND($E4,ISNUMBER($AB4)),$AB4,"")</f>
        <v/>
      </c>
      <c r="AD4" s="6">
        <f>IF(AND(NOT($E4),ISNUMBER($AB4)),$AB4,"")</f>
        <v>1.19</v>
      </c>
      <c r="AE4" s="4">
        <f>AB4+AA4</f>
        <v>2.3899999999999997</v>
      </c>
      <c r="AF4" s="7">
        <f>IF(OR($Z4&gt;=4,$AB4&gt;=4,$AA4&gt;=5),1,0)</f>
        <v>0</v>
      </c>
      <c r="AG4" s="7">
        <f>IF(OR($Z4&gt;=4,$AB4&gt;=4,$R4&gt;=10),1,0)</f>
        <v>0</v>
      </c>
      <c r="AH4" s="7">
        <f>IF(OR($Z4&gt;=4,$AB4&gt;=5,$R4&gt;=10),1,0)</f>
        <v>0</v>
      </c>
      <c r="AI4" s="7">
        <f>IF(OR($Z4&gt;=$AI$43,$AB4&gt;=$AI$43,$R4&gt;=10),1,0)</f>
        <v>0</v>
      </c>
      <c r="AJ4" s="7">
        <f>INDIRECT(CONCATENATE($AJ$2,CELL("row",AJ4)))</f>
        <v>0</v>
      </c>
      <c r="AK4" s="7">
        <f>IF(AND(AJ4,E4),1,0)</f>
        <v>0</v>
      </c>
      <c r="AL4" s="7">
        <f>IF(AND(AJ4,NOT(E4)),1,0)</f>
        <v>0</v>
      </c>
      <c r="AM4" s="7">
        <f>IF(AND($AJ4,$E4,$B4=1),1,0)</f>
        <v>0</v>
      </c>
      <c r="AN4" s="7">
        <f>IF(AND($AJ4,NOT($E4),$B4=1),1,0)</f>
        <v>0</v>
      </c>
      <c r="AO4" s="7">
        <f>IF(AND($E4,$B4=1),1,0)</f>
        <v>0</v>
      </c>
      <c r="AP4" s="7">
        <f>IF(AND(NOT($E4),$B4=1),1,0)</f>
        <v>0</v>
      </c>
      <c r="AQ4" s="7">
        <f>IF(AND($E4,$B4=2),1,0)</f>
        <v>0</v>
      </c>
      <c r="AR4" s="7">
        <f>IF(AND($AJ4,$E4,$B4=2),1,0)</f>
        <v>0</v>
      </c>
      <c r="AS4" s="7">
        <f>IF(AND(NOT($E4),$B4=2),1,0)</f>
        <v>0</v>
      </c>
      <c r="AT4" s="7">
        <f>IF(AND($AJ4,NOT($E4),$B4=2),1,0)</f>
        <v>0</v>
      </c>
      <c r="AU4" s="7">
        <f>IF(AND($E4,$B4=3),1,0)</f>
        <v>0</v>
      </c>
      <c r="AV4" s="7">
        <f>IF(AND(NOT($E4),$B4=3),1,0)</f>
        <v>1</v>
      </c>
      <c r="AW4" s="7">
        <f>IF(AND($AJ4,NOT($E4),$B4=3),1,0)</f>
        <v>0</v>
      </c>
    </row>
    <row r="5" spans="1:49" ht="12.75">
      <c r="A5" s="7">
        <v>14017</v>
      </c>
      <c r="B5" s="7">
        <v>2</v>
      </c>
      <c r="C5" s="7">
        <v>1</v>
      </c>
      <c r="D5" s="7">
        <v>0</v>
      </c>
      <c r="E5" s="7">
        <f>IF(AND(C5,D5),1,0)</f>
        <v>0</v>
      </c>
      <c r="F5" s="7">
        <v>14017</v>
      </c>
      <c r="G5" s="4">
        <v>10</v>
      </c>
      <c r="H5" s="4">
        <v>5.5</v>
      </c>
      <c r="I5" s="4">
        <v>6</v>
      </c>
      <c r="J5" s="4">
        <v>7</v>
      </c>
      <c r="K5" s="4">
        <v>5.9</v>
      </c>
      <c r="L5" s="4">
        <v>1.7</v>
      </c>
      <c r="M5" s="4">
        <v>1</v>
      </c>
      <c r="O5" s="4"/>
      <c r="P5" s="4"/>
      <c r="Q5" s="4"/>
      <c r="R5" s="7">
        <v>7</v>
      </c>
      <c r="S5" s="2">
        <f>IF(E5,R5,0)</f>
        <v>0</v>
      </c>
      <c r="T5" s="2">
        <f>IF(NOT(E5),R5,0)</f>
        <v>7</v>
      </c>
      <c r="U5" s="3">
        <f>SUM(G5:Q5)/11</f>
        <v>3.372727272727273</v>
      </c>
      <c r="V5" s="3">
        <f>SUM(G5:Q5)/R5</f>
        <v>5.3</v>
      </c>
      <c r="W5" s="4">
        <v>3.5</v>
      </c>
      <c r="X5" s="7">
        <v>14017</v>
      </c>
      <c r="Z5" s="4">
        <f>W5/2+Y5</f>
        <v>1.75</v>
      </c>
      <c r="AA5" s="7">
        <v>4</v>
      </c>
      <c r="AB5" s="7">
        <v>4.01</v>
      </c>
      <c r="AC5" s="6" t="str">
        <f>IF(AND($E5,ISNUMBER($AB5)),$AB5,"")</f>
        <v/>
      </c>
      <c r="AD5" s="6">
        <f>IF(AND(NOT($E5),ISNUMBER($AB5)),$AB5,"")</f>
        <v>4.01</v>
      </c>
      <c r="AE5" s="4">
        <f>AB5+AA5</f>
        <v>8.01</v>
      </c>
      <c r="AF5" s="7">
        <f>IF(OR($Z5&gt;=4,$AB5&gt;=4,$AA5&gt;=5),1,0)</f>
        <v>1</v>
      </c>
      <c r="AG5" s="7">
        <f>IF(OR($Z5&gt;=4,$AB5&gt;=4,$R5&gt;=10),1,0)</f>
        <v>1</v>
      </c>
      <c r="AH5" s="7">
        <f>IF(OR($Z5&gt;=4,$AB5&gt;=5,$R5&gt;=10),1,0)</f>
        <v>0</v>
      </c>
      <c r="AI5" s="7">
        <f>IF(OR($Z5&gt;=$AI$43,$AB5&gt;=$AI$43,$R5&gt;=10),1,0)</f>
        <v>1</v>
      </c>
      <c r="AJ5" s="7">
        <f>INDIRECT(CONCATENATE($AJ$2,CELL("row",AJ5)))</f>
        <v>1</v>
      </c>
      <c r="AK5" s="7">
        <f>IF(AND(AJ5,E5),1,0)</f>
        <v>0</v>
      </c>
      <c r="AL5" s="7">
        <f>IF(AND(AJ5,NOT(E5)),1,0)</f>
        <v>1</v>
      </c>
      <c r="AM5" s="7">
        <f>IF(AND($AJ5,$E5,$B5=1),1,0)</f>
        <v>0</v>
      </c>
      <c r="AN5" s="7">
        <f>IF(AND($AJ5,NOT($E5),$B5=1),1,0)</f>
        <v>0</v>
      </c>
      <c r="AO5" s="7">
        <f>IF(AND($E5,$B5=1),1,0)</f>
        <v>0</v>
      </c>
      <c r="AP5" s="7">
        <f>IF(AND(NOT($E5),$B5=1),1,0)</f>
        <v>0</v>
      </c>
      <c r="AQ5" s="7">
        <f>IF(AND($E5,$B5=2),1,0)</f>
        <v>0</v>
      </c>
      <c r="AR5" s="7">
        <f>IF(AND($AJ5,$E5,$B5=2),1,0)</f>
        <v>0</v>
      </c>
      <c r="AS5" s="7">
        <f>IF(AND(NOT($E5),$B5=2),1,0)</f>
        <v>1</v>
      </c>
      <c r="AT5" s="7">
        <f>IF(AND($AJ5,NOT($E5),$B5=2),1,0)</f>
        <v>1</v>
      </c>
      <c r="AU5" s="7">
        <f>IF(AND($E5,$B5=3),1,0)</f>
        <v>0</v>
      </c>
      <c r="AV5" s="7">
        <f>IF(AND(NOT($E5),$B5=3),1,0)</f>
        <v>0</v>
      </c>
      <c r="AW5" s="7">
        <f>IF(AND($AJ5,NOT($E5),$B5=3),1,0)</f>
        <v>0</v>
      </c>
    </row>
    <row r="6" spans="1:49" ht="12.75">
      <c r="A6" s="7">
        <v>14075</v>
      </c>
      <c r="B6" s="7">
        <v>2</v>
      </c>
      <c r="C6" s="7">
        <v>1</v>
      </c>
      <c r="D6" s="7">
        <v>0</v>
      </c>
      <c r="E6" s="7">
        <f>IF(AND(C6,D6),1,0)</f>
        <v>0</v>
      </c>
      <c r="F6" s="7">
        <v>14075</v>
      </c>
      <c r="G6" s="4">
        <v>3.5</v>
      </c>
      <c r="H6" s="4">
        <v>5.5</v>
      </c>
      <c r="I6" s="4">
        <v>3</v>
      </c>
      <c r="J6" s="4">
        <v>3</v>
      </c>
      <c r="K6" s="4">
        <v>2.7</v>
      </c>
      <c r="L6" s="4">
        <v>6.2</v>
      </c>
      <c r="M6" s="4">
        <v>5.6</v>
      </c>
      <c r="N6" s="4">
        <v>4</v>
      </c>
      <c r="O6" s="4">
        <v>5</v>
      </c>
      <c r="P6" s="4">
        <v>2.5</v>
      </c>
      <c r="Q6" s="4">
        <v>1.2</v>
      </c>
      <c r="R6" s="7">
        <v>11</v>
      </c>
      <c r="S6" s="2">
        <f>IF(E6,R6,0)</f>
        <v>0</v>
      </c>
      <c r="T6" s="2">
        <f>IF(NOT(E6),R6,0)</f>
        <v>11</v>
      </c>
      <c r="U6" s="3">
        <f>SUM(G6:Q6)/11</f>
        <v>3.8363636363636364</v>
      </c>
      <c r="V6" s="3">
        <f>SUM(G6:Q6)/R6</f>
        <v>3.8363636363636364</v>
      </c>
      <c r="W6" s="4">
        <v>6</v>
      </c>
      <c r="X6" s="7">
        <v>14075</v>
      </c>
      <c r="Y6" s="7">
        <v>1.2</v>
      </c>
      <c r="Z6" s="4">
        <f>W6/2+Y6</f>
        <v>4.2</v>
      </c>
      <c r="AA6" s="7">
        <v>4.5</v>
      </c>
      <c r="AB6" s="7">
        <v>4.48</v>
      </c>
      <c r="AC6" s="6" t="str">
        <f>IF(AND($E6,ISNUMBER($AB6)),$AB6,"")</f>
        <v/>
      </c>
      <c r="AD6" s="6">
        <f>IF(AND(NOT($E6),ISNUMBER($AB6)),$AB6,"")</f>
        <v>4.48</v>
      </c>
      <c r="AE6" s="4">
        <f>AB6+AA6</f>
        <v>8.98</v>
      </c>
      <c r="AF6" s="7">
        <f>IF(OR($Z6&gt;=4,$AB6&gt;=4,$AA6&gt;=5),1,0)</f>
        <v>1</v>
      </c>
      <c r="AG6" s="7">
        <f>IF(OR($Z6&gt;=4,$AB6&gt;=4,$R6&gt;=10),1,0)</f>
        <v>1</v>
      </c>
      <c r="AH6" s="7">
        <f>IF(OR($Z6&gt;=4,$AB6&gt;=5,$R6&gt;=10),1,0)</f>
        <v>1</v>
      </c>
      <c r="AI6" s="7">
        <f>IF(OR($Z6&gt;=$AI$43,$AB6&gt;=$AI$43,$R6&gt;=10),1,0)</f>
        <v>1</v>
      </c>
      <c r="AJ6" s="7">
        <f>INDIRECT(CONCATENATE($AJ$2,CELL("row",AJ6)))</f>
        <v>1</v>
      </c>
      <c r="AK6" s="7">
        <f>IF(AND(AJ6,E6),1,0)</f>
        <v>0</v>
      </c>
      <c r="AL6" s="7">
        <f>IF(AND(AJ6,NOT(E6)),1,0)</f>
        <v>1</v>
      </c>
      <c r="AM6" s="7">
        <f>IF(AND($AJ6,$E6,$B6=1),1,0)</f>
        <v>0</v>
      </c>
      <c r="AN6" s="7">
        <f>IF(AND($AJ6,NOT($E6),$B6=1),1,0)</f>
        <v>0</v>
      </c>
      <c r="AO6" s="7">
        <f>IF(AND($E6,$B6=1),1,0)</f>
        <v>0</v>
      </c>
      <c r="AP6" s="7">
        <f>IF(AND(NOT($E6),$B6=1),1,0)</f>
        <v>0</v>
      </c>
      <c r="AQ6" s="7">
        <f>IF(AND($E6,$B6=2),1,0)</f>
        <v>0</v>
      </c>
      <c r="AR6" s="7">
        <f>IF(AND($AJ6,$E6,$B6=2),1,0)</f>
        <v>0</v>
      </c>
      <c r="AS6" s="7">
        <f>IF(AND(NOT($E6),$B6=2),1,0)</f>
        <v>1</v>
      </c>
      <c r="AT6" s="7">
        <f>IF(AND($AJ6,NOT($E6),$B6=2),1,0)</f>
        <v>1</v>
      </c>
      <c r="AU6" s="7">
        <f>IF(AND($E6,$B6=3),1,0)</f>
        <v>0</v>
      </c>
      <c r="AV6" s="7">
        <f>IF(AND(NOT($E6),$B6=3),1,0)</f>
        <v>0</v>
      </c>
      <c r="AW6" s="7">
        <f>IF(AND($AJ6,NOT($E6),$B6=3),1,0)</f>
        <v>0</v>
      </c>
    </row>
    <row r="7" spans="1:49" ht="12.75">
      <c r="A7" s="7">
        <v>14134</v>
      </c>
      <c r="B7" s="7">
        <v>2</v>
      </c>
      <c r="C7" s="7">
        <v>1</v>
      </c>
      <c r="D7" s="7">
        <v>0</v>
      </c>
      <c r="E7" s="7">
        <f>IF(AND(C7,D7),1,0)</f>
        <v>0</v>
      </c>
      <c r="F7" s="7">
        <v>14134</v>
      </c>
      <c r="G7" s="4">
        <v>6.5</v>
      </c>
      <c r="H7" s="4">
        <v>6</v>
      </c>
      <c r="I7" s="4">
        <v>7</v>
      </c>
      <c r="J7" s="4">
        <v>4.5</v>
      </c>
      <c r="K7" s="4">
        <v>2.6</v>
      </c>
      <c r="L7" s="4">
        <v>3.4</v>
      </c>
      <c r="M7" s="4">
        <v>4</v>
      </c>
      <c r="N7" s="4">
        <v>2</v>
      </c>
      <c r="O7" s="4">
        <v>4</v>
      </c>
      <c r="P7" s="4">
        <v>5</v>
      </c>
      <c r="Q7" s="4">
        <v>7.8</v>
      </c>
      <c r="R7" s="7">
        <v>12</v>
      </c>
      <c r="S7" s="2">
        <f>IF(E7,R7,0)</f>
        <v>0</v>
      </c>
      <c r="T7" s="2">
        <f>IF(NOT(E7),R7,0)</f>
        <v>12</v>
      </c>
      <c r="U7" s="3">
        <f>SUM(G7:Q7)/11</f>
        <v>4.8</v>
      </c>
      <c r="V7" s="3">
        <f>SUM(G7:Q7)/R7</f>
        <v>4.3999999999999995</v>
      </c>
      <c r="W7" s="4">
        <v>2</v>
      </c>
      <c r="X7" s="7">
        <v>14134</v>
      </c>
      <c r="Y7" s="7">
        <v>2.45</v>
      </c>
      <c r="Z7" s="4">
        <f>W7/2+Y7</f>
        <v>3.45</v>
      </c>
      <c r="AA7" s="7">
        <v>5</v>
      </c>
      <c r="AB7" s="7">
        <v>5.52</v>
      </c>
      <c r="AC7" s="6" t="str">
        <f>IF(AND($E7,ISNUMBER($AB7)),$AB7,"")</f>
        <v/>
      </c>
      <c r="AD7" s="6">
        <f>IF(AND(NOT($E7),ISNUMBER($AB7)),$AB7,"")</f>
        <v>5.52</v>
      </c>
      <c r="AE7" s="4">
        <f>AB7+AA7</f>
        <v>10.52</v>
      </c>
      <c r="AF7" s="7">
        <f>IF(OR($Z7&gt;=4,$AB7&gt;=4,$AA7&gt;=5),1,0)</f>
        <v>1</v>
      </c>
      <c r="AG7" s="7">
        <f>IF(OR($Z7&gt;=4,$AB7&gt;=4,$R7&gt;=10),1,0)</f>
        <v>1</v>
      </c>
      <c r="AH7" s="7">
        <f>IF(OR($Z7&gt;=4,$AB7&gt;=5,$R7&gt;=10),1,0)</f>
        <v>1</v>
      </c>
      <c r="AI7" s="7">
        <f>IF(OR($Z7&gt;=$AI$43,$AB7&gt;=$AI$43,$R7&gt;=10),1,0)</f>
        <v>1</v>
      </c>
      <c r="AJ7" s="7">
        <f>INDIRECT(CONCATENATE($AJ$2,CELL("row",AJ7)))</f>
        <v>1</v>
      </c>
      <c r="AK7" s="7">
        <f>IF(AND(AJ7,E7),1,0)</f>
        <v>0</v>
      </c>
      <c r="AL7" s="7">
        <f>IF(AND(AJ7,NOT(E7)),1,0)</f>
        <v>1</v>
      </c>
      <c r="AM7" s="7">
        <f>IF(AND($AJ7,$E7,$B7=1),1,0)</f>
        <v>0</v>
      </c>
      <c r="AN7" s="7">
        <f>IF(AND($AJ7,NOT($E7),$B7=1),1,0)</f>
        <v>0</v>
      </c>
      <c r="AO7" s="7">
        <f>IF(AND($E7,$B7=1),1,0)</f>
        <v>0</v>
      </c>
      <c r="AP7" s="7">
        <f>IF(AND(NOT($E7),$B7=1),1,0)</f>
        <v>0</v>
      </c>
      <c r="AQ7" s="7">
        <f>IF(AND($E7,$B7=2),1,0)</f>
        <v>0</v>
      </c>
      <c r="AR7" s="7">
        <f>IF(AND($AJ7,$E7,$B7=2),1,0)</f>
        <v>0</v>
      </c>
      <c r="AS7" s="7">
        <f>IF(AND(NOT($E7),$B7=2),1,0)</f>
        <v>1</v>
      </c>
      <c r="AT7" s="7">
        <f>IF(AND($AJ7,NOT($E7),$B7=2),1,0)</f>
        <v>1</v>
      </c>
      <c r="AU7" s="7">
        <f>IF(AND($E7,$B7=3),1,0)</f>
        <v>0</v>
      </c>
      <c r="AV7" s="7">
        <f>IF(AND(NOT($E7),$B7=3),1,0)</f>
        <v>0</v>
      </c>
      <c r="AW7" s="7">
        <f>IF(AND($AJ7,NOT($E7),$B7=3),1,0)</f>
        <v>0</v>
      </c>
    </row>
    <row r="8" spans="1:49" ht="12.75">
      <c r="A8" s="7">
        <v>14337</v>
      </c>
      <c r="B8" s="7">
        <v>2</v>
      </c>
      <c r="C8" s="7">
        <v>1</v>
      </c>
      <c r="D8" s="7">
        <v>1</v>
      </c>
      <c r="E8" s="7">
        <f>IF(AND(C8,D8),1,0)</f>
        <v>1</v>
      </c>
      <c r="F8" s="7">
        <v>14337</v>
      </c>
      <c r="G8" s="4">
        <v>5</v>
      </c>
      <c r="H8" s="4">
        <v>5.5</v>
      </c>
      <c r="I8" s="4">
        <v>2</v>
      </c>
      <c r="J8" s="4">
        <v>5.5</v>
      </c>
      <c r="K8" s="4">
        <v>3.3</v>
      </c>
      <c r="L8" s="4">
        <v>5.6</v>
      </c>
      <c r="M8" s="4">
        <v>6</v>
      </c>
      <c r="N8" s="4">
        <v>7</v>
      </c>
      <c r="O8" s="4">
        <v>7</v>
      </c>
      <c r="P8" s="4">
        <v>7.5</v>
      </c>
      <c r="Q8" s="4">
        <v>2.4</v>
      </c>
      <c r="R8" s="7">
        <v>12</v>
      </c>
      <c r="S8" s="2">
        <f>IF(E8,R8,0)</f>
        <v>12</v>
      </c>
      <c r="T8" s="2">
        <f>IF(NOT(E8),R8,0)</f>
        <v>0</v>
      </c>
      <c r="U8" s="3">
        <f>SUM(G8:Q8)/11</f>
        <v>5.163636363636363</v>
      </c>
      <c r="V8" s="3">
        <f>SUM(G8:Q8)/R8</f>
        <v>4.733333333333333</v>
      </c>
      <c r="W8" s="4">
        <v>4</v>
      </c>
      <c r="X8" s="7">
        <v>14337</v>
      </c>
      <c r="Y8" s="7">
        <v>3</v>
      </c>
      <c r="Z8" s="4">
        <f>W8/2+Y8</f>
        <v>5</v>
      </c>
      <c r="AA8" s="7">
        <v>6</v>
      </c>
      <c r="AB8" s="7">
        <v>5.99</v>
      </c>
      <c r="AC8" s="6">
        <f>IF(AND($E8,ISNUMBER($AB8)),$AB8,"")</f>
        <v>5.99</v>
      </c>
      <c r="AD8" s="6" t="str">
        <f>IF(AND(NOT($E8),ISNUMBER($AB8)),$AB8,"")</f>
        <v/>
      </c>
      <c r="AE8" s="4">
        <f>AB8+AA8</f>
        <v>11.99</v>
      </c>
      <c r="AF8" s="7">
        <f>IF(OR($Z8&gt;=4,$AB8&gt;=4,$AA8&gt;=5),1,0)</f>
        <v>1</v>
      </c>
      <c r="AG8" s="7">
        <f>IF(OR($Z8&gt;=4,$AB8&gt;=4,$R8&gt;=10),1,0)</f>
        <v>1</v>
      </c>
      <c r="AH8" s="7">
        <f>IF(OR($Z8&gt;=4,$AB8&gt;=5,$R8&gt;=10),1,0)</f>
        <v>1</v>
      </c>
      <c r="AI8" s="7">
        <f>IF(OR($Z8&gt;=$AI$43,$AB8&gt;=$AI$43,$R8&gt;=10),1,0)</f>
        <v>1</v>
      </c>
      <c r="AJ8" s="7">
        <f>INDIRECT(CONCATENATE($AJ$2,CELL("row",AJ8)))</f>
        <v>1</v>
      </c>
      <c r="AK8" s="7">
        <f>IF(AND(AJ8,E8),1,0)</f>
        <v>1</v>
      </c>
      <c r="AL8" s="7">
        <f>IF(AND(AJ8,NOT(E8)),1,0)</f>
        <v>0</v>
      </c>
      <c r="AM8" s="7">
        <f>IF(AND($AJ8,$E8,$B8=1),1,0)</f>
        <v>0</v>
      </c>
      <c r="AN8" s="7">
        <f>IF(AND($AJ8,NOT($E8),$B8=1),1,0)</f>
        <v>0</v>
      </c>
      <c r="AO8" s="7">
        <f>IF(AND($E8,$B8=1),1,0)</f>
        <v>0</v>
      </c>
      <c r="AP8" s="7">
        <f>IF(AND(NOT($E8),$B8=1),1,0)</f>
        <v>0</v>
      </c>
      <c r="AQ8" s="7">
        <f>IF(AND($E8,$B8=2),1,0)</f>
        <v>1</v>
      </c>
      <c r="AR8" s="7">
        <f>IF(AND($AJ8,$E8,$B8=2),1,0)</f>
        <v>1</v>
      </c>
      <c r="AS8" s="7">
        <f>IF(AND(NOT($E8),$B8=2),1,0)</f>
        <v>0</v>
      </c>
      <c r="AT8" s="7">
        <f>IF(AND($AJ8,NOT($E8),$B8=2),1,0)</f>
        <v>0</v>
      </c>
      <c r="AU8" s="7">
        <f>IF(AND($E8,$B8=3),1,0)</f>
        <v>0</v>
      </c>
      <c r="AV8" s="7">
        <f>IF(AND(NOT($E8),$B8=3),1,0)</f>
        <v>0</v>
      </c>
      <c r="AW8" s="7">
        <f>IF(AND($AJ8,NOT($E8),$B8=3),1,0)</f>
        <v>0</v>
      </c>
    </row>
    <row r="9" spans="1:49" ht="12.75">
      <c r="A9" s="7">
        <v>15003</v>
      </c>
      <c r="B9" s="7">
        <v>1</v>
      </c>
      <c r="C9" s="7">
        <v>1</v>
      </c>
      <c r="D9" s="7">
        <v>0</v>
      </c>
      <c r="E9" s="7">
        <f>IF(AND(C9,D9),1,0)</f>
        <v>0</v>
      </c>
      <c r="F9" s="7">
        <v>15003</v>
      </c>
      <c r="G9" s="4">
        <v>5</v>
      </c>
      <c r="H9" s="4">
        <v>3.5</v>
      </c>
      <c r="I9" s="4">
        <v>1.5</v>
      </c>
      <c r="J9" s="4">
        <v>2.5</v>
      </c>
      <c r="K9" s="4">
        <v>0</v>
      </c>
      <c r="M9" s="4"/>
      <c r="N9" s="4"/>
      <c r="O9" s="4"/>
      <c r="P9" s="4"/>
      <c r="Q9" s="4"/>
      <c r="R9" s="7">
        <v>5</v>
      </c>
      <c r="S9" s="2">
        <f>IF(E9,R9,0)</f>
        <v>0</v>
      </c>
      <c r="T9" s="2">
        <f>IF(NOT(E9),R9,0)</f>
        <v>5</v>
      </c>
      <c r="U9" s="3">
        <f>SUM(G9:Q9)/11</f>
        <v>1.1363636363636365</v>
      </c>
      <c r="V9" s="3">
        <f>SUM(G9:Q9)/R9</f>
        <v>2.5</v>
      </c>
      <c r="W9" s="4">
        <v>1</v>
      </c>
      <c r="X9" s="7">
        <v>15003</v>
      </c>
      <c r="Z9" s="4">
        <f>W9/2+Y9</f>
        <v>0.5</v>
      </c>
      <c r="AA9" s="7">
        <v>1.4</v>
      </c>
      <c r="AB9" s="7">
        <v>1.37</v>
      </c>
      <c r="AC9" s="6" t="str">
        <f>IF(AND($E9,ISNUMBER($AB9)),$AB9,"")</f>
        <v/>
      </c>
      <c r="AD9" s="6">
        <f>IF(AND(NOT($E9),ISNUMBER($AB9)),$AB9,"")</f>
        <v>1.37</v>
      </c>
      <c r="AE9" s="4">
        <f>AB9+AA9</f>
        <v>2.77</v>
      </c>
      <c r="AF9" s="7">
        <f>IF(OR($Z9&gt;=4,$AB9&gt;=4,$AA9&gt;=5),1,0)</f>
        <v>0</v>
      </c>
      <c r="AG9" s="7">
        <f>IF(OR($Z9&gt;=4,$AB9&gt;=4,$R9&gt;=10),1,0)</f>
        <v>0</v>
      </c>
      <c r="AH9" s="7">
        <f>IF(OR($Z9&gt;=4,$AB9&gt;=5,$R9&gt;=10),1,0)</f>
        <v>0</v>
      </c>
      <c r="AI9" s="7">
        <f>IF(OR($Z9&gt;=$AI$43,$AB9&gt;=$AI$43,$R9&gt;=10),1,0)</f>
        <v>0</v>
      </c>
      <c r="AJ9" s="7">
        <f>INDIRECT(CONCATENATE($AJ$2,CELL("row",AJ9)))</f>
        <v>0</v>
      </c>
      <c r="AK9" s="7">
        <f>IF(AND(AJ9,E9),1,0)</f>
        <v>0</v>
      </c>
      <c r="AL9" s="7">
        <f>IF(AND(AJ9,NOT(E9)),1,0)</f>
        <v>0</v>
      </c>
      <c r="AM9" s="7">
        <f>IF(AND($AJ9,$E9,$B9=1),1,0)</f>
        <v>0</v>
      </c>
      <c r="AN9" s="7">
        <f>IF(AND($AJ9,NOT($E9),$B9=1),1,0)</f>
        <v>0</v>
      </c>
      <c r="AO9" s="7">
        <f>IF(AND($E9,$B9=1),1,0)</f>
        <v>0</v>
      </c>
      <c r="AP9" s="7">
        <f>IF(AND(NOT($E9),$B9=1),1,0)</f>
        <v>1</v>
      </c>
      <c r="AQ9" s="7">
        <f>IF(AND($E9,$B9=2),1,0)</f>
        <v>0</v>
      </c>
      <c r="AR9" s="7">
        <f>IF(AND($AJ9,$E9,$B9=2),1,0)</f>
        <v>0</v>
      </c>
      <c r="AS9" s="7">
        <f>IF(AND(NOT($E9),$B9=2),1,0)</f>
        <v>0</v>
      </c>
      <c r="AT9" s="7">
        <f>IF(AND($AJ9,NOT($E9),$B9=2),1,0)</f>
        <v>0</v>
      </c>
      <c r="AU9" s="7">
        <f>IF(AND($E9,$B9=3),1,0)</f>
        <v>0</v>
      </c>
      <c r="AV9" s="7">
        <f>IF(AND(NOT($E9),$B9=3),1,0)</f>
        <v>0</v>
      </c>
      <c r="AW9" s="7">
        <f>IF(AND($AJ9,NOT($E9),$B9=3),1,0)</f>
        <v>0</v>
      </c>
    </row>
    <row r="10" spans="1:49" ht="12.75">
      <c r="A10" s="7">
        <v>15009</v>
      </c>
      <c r="B10" s="7">
        <v>1</v>
      </c>
      <c r="C10" s="7">
        <v>1</v>
      </c>
      <c r="D10" s="7">
        <v>0</v>
      </c>
      <c r="E10" s="7">
        <f>IF(AND(C10,D10),1,0)</f>
        <v>0</v>
      </c>
      <c r="F10" s="7">
        <v>15009</v>
      </c>
      <c r="G10" s="4">
        <v>5.5</v>
      </c>
      <c r="H10" s="4">
        <v>4</v>
      </c>
      <c r="I10" s="4">
        <v>2.5</v>
      </c>
      <c r="J10" s="4">
        <v>5</v>
      </c>
      <c r="K10" s="4">
        <v>0</v>
      </c>
      <c r="L10" s="4">
        <v>2.8</v>
      </c>
      <c r="M10" s="4">
        <v>5.6</v>
      </c>
      <c r="N10" s="4">
        <v>1</v>
      </c>
      <c r="P10" s="4"/>
      <c r="Q10" s="4"/>
      <c r="R10" s="7">
        <v>8</v>
      </c>
      <c r="S10" s="2">
        <f>IF(E10,R10,0)</f>
        <v>0</v>
      </c>
      <c r="T10" s="2">
        <f>IF(NOT(E10),R10,0)</f>
        <v>8</v>
      </c>
      <c r="U10" s="3">
        <f>SUM(G10:Q10)/11</f>
        <v>2.4</v>
      </c>
      <c r="V10" s="3">
        <f>SUM(G10:Q10)/R10</f>
        <v>3.3</v>
      </c>
      <c r="W10" s="4">
        <v>4</v>
      </c>
      <c r="X10" s="7">
        <v>15009</v>
      </c>
      <c r="Y10" s="7">
        <v>2.45</v>
      </c>
      <c r="Z10" s="4">
        <f>W10/2+Y10</f>
        <v>4.45</v>
      </c>
      <c r="AA10" s="7">
        <v>4.5</v>
      </c>
      <c r="AB10" s="7">
        <v>2.89</v>
      </c>
      <c r="AC10" s="6" t="str">
        <f>IF(AND($E10,ISNUMBER($AB10)),$AB10,"")</f>
        <v/>
      </c>
      <c r="AD10" s="6">
        <f>IF(AND(NOT($E10),ISNUMBER($AB10)),$AB10,"")</f>
        <v>2.89</v>
      </c>
      <c r="AE10" s="4">
        <f>AB10+AA10</f>
        <v>7.390000000000001</v>
      </c>
      <c r="AF10" s="7">
        <f>IF(OR($Z10&gt;=4,$AB10&gt;=4,$AA10&gt;=5),1,0)</f>
        <v>1</v>
      </c>
      <c r="AG10" s="7">
        <f>IF(OR($Z10&gt;=4,$AB10&gt;=4,$R10&gt;=10),1,0)</f>
        <v>1</v>
      </c>
      <c r="AH10" s="7">
        <f>IF(OR($Z10&gt;=4,$AB10&gt;=5,$R10&gt;=10),1,0)</f>
        <v>1</v>
      </c>
      <c r="AI10" s="7">
        <f>IF(OR($Z10&gt;=$AI$43,$AB10&gt;=$AI$43,$R10&gt;=10),1,0)</f>
        <v>1</v>
      </c>
      <c r="AJ10" s="7">
        <f>INDIRECT(CONCATENATE($AJ$2,CELL("row",AJ10)))</f>
        <v>1</v>
      </c>
      <c r="AK10" s="7">
        <f>IF(AND(AJ10,E10),1,0)</f>
        <v>0</v>
      </c>
      <c r="AL10" s="7">
        <f>IF(AND(AJ10,NOT(E10)),1,0)</f>
        <v>1</v>
      </c>
      <c r="AM10" s="7">
        <f>IF(AND($AJ10,$E10,$B10=1),1,0)</f>
        <v>0</v>
      </c>
      <c r="AN10" s="7">
        <f>IF(AND($AJ10,NOT($E10),$B10=1),1,0)</f>
        <v>1</v>
      </c>
      <c r="AO10" s="7">
        <f>IF(AND($E10,$B10=1),1,0)</f>
        <v>0</v>
      </c>
      <c r="AP10" s="7">
        <f>IF(AND(NOT($E10),$B10=1),1,0)</f>
        <v>1</v>
      </c>
      <c r="AQ10" s="7">
        <f>IF(AND($E10,$B10=2),1,0)</f>
        <v>0</v>
      </c>
      <c r="AR10" s="7">
        <f>IF(AND($AJ10,$E10,$B10=2),1,0)</f>
        <v>0</v>
      </c>
      <c r="AS10" s="7">
        <f>IF(AND(NOT($E10),$B10=2),1,0)</f>
        <v>0</v>
      </c>
      <c r="AT10" s="7">
        <f>IF(AND($AJ10,NOT($E10),$B10=2),1,0)</f>
        <v>0</v>
      </c>
      <c r="AU10" s="7">
        <f>IF(AND($E10,$B10=3),1,0)</f>
        <v>0</v>
      </c>
      <c r="AV10" s="7">
        <f>IF(AND(NOT($E10),$B10=3),1,0)</f>
        <v>0</v>
      </c>
      <c r="AW10" s="7">
        <f>IF(AND($AJ10,NOT($E10),$B10=3),1,0)</f>
        <v>0</v>
      </c>
    </row>
    <row r="11" spans="1:49" ht="12.75">
      <c r="A11" s="7">
        <v>15017</v>
      </c>
      <c r="B11" s="7">
        <v>1</v>
      </c>
      <c r="C11" s="7">
        <v>1</v>
      </c>
      <c r="D11" s="7">
        <v>1</v>
      </c>
      <c r="E11" s="7">
        <f>IF(AND(C11,D11),1,0)</f>
        <v>1</v>
      </c>
      <c r="F11" s="7">
        <v>15017</v>
      </c>
      <c r="G11" s="4">
        <v>7</v>
      </c>
      <c r="H11" s="4">
        <v>7</v>
      </c>
      <c r="I11" s="4">
        <v>10</v>
      </c>
      <c r="J11" s="4">
        <v>6</v>
      </c>
      <c r="K11" s="4">
        <v>7.5</v>
      </c>
      <c r="L11" s="4">
        <v>3.9</v>
      </c>
      <c r="M11" s="4">
        <v>2.8</v>
      </c>
      <c r="N11" s="4">
        <v>8.5</v>
      </c>
      <c r="O11" s="4">
        <v>9.5</v>
      </c>
      <c r="P11" s="4">
        <v>7</v>
      </c>
      <c r="Q11" s="4">
        <v>6.6</v>
      </c>
      <c r="R11" s="7">
        <v>12</v>
      </c>
      <c r="S11" s="2">
        <f>IF(E11,R11,0)</f>
        <v>12</v>
      </c>
      <c r="T11" s="2">
        <f>IF(NOT(E11),R11,0)</f>
        <v>0</v>
      </c>
      <c r="U11" s="3">
        <f>SUM(G11:Q11)/11</f>
        <v>6.890909090909091</v>
      </c>
      <c r="V11" s="3">
        <f>SUM(G11:Q11)/R11</f>
        <v>6.316666666666666</v>
      </c>
      <c r="W11" s="4">
        <v>7.5</v>
      </c>
      <c r="X11" s="7">
        <v>15017</v>
      </c>
      <c r="Y11" s="7">
        <v>4.1</v>
      </c>
      <c r="Z11" s="4">
        <f>W11/2+Y11</f>
        <v>7.85</v>
      </c>
      <c r="AA11" s="7">
        <v>7.8</v>
      </c>
      <c r="AB11" s="7">
        <v>7.83</v>
      </c>
      <c r="AC11" s="6">
        <f>IF(AND($E11,ISNUMBER($AB11)),$AB11,"")</f>
        <v>7.83</v>
      </c>
      <c r="AD11" s="6" t="str">
        <f>IF(AND(NOT($E11),ISNUMBER($AB11)),$AB11,"")</f>
        <v/>
      </c>
      <c r="AE11" s="4">
        <f>AB11+AA11</f>
        <v>15.629999999999999</v>
      </c>
      <c r="AF11" s="7">
        <f>IF(OR($Z11&gt;=4,$AB11&gt;=4,$AA11&gt;=5),1,0)</f>
        <v>1</v>
      </c>
      <c r="AG11" s="7">
        <f>IF(OR($Z11&gt;=4,$AB11&gt;=4,$R11&gt;=10),1,0)</f>
        <v>1</v>
      </c>
      <c r="AH11" s="7">
        <f>IF(OR($Z11&gt;=4,$AB11&gt;=5,$R11&gt;=10),1,0)</f>
        <v>1</v>
      </c>
      <c r="AI11" s="7">
        <f>IF(OR($Z11&gt;=$AI$43,$AB11&gt;=$AI$43,$R11&gt;=10),1,0)</f>
        <v>1</v>
      </c>
      <c r="AJ11" s="7">
        <f>INDIRECT(CONCATENATE($AJ$2,CELL("row",AJ11)))</f>
        <v>1</v>
      </c>
      <c r="AK11" s="7">
        <f>IF(AND(AJ11,E11),1,0)</f>
        <v>1</v>
      </c>
      <c r="AL11" s="7">
        <f>IF(AND(AJ11,NOT(E11)),1,0)</f>
        <v>0</v>
      </c>
      <c r="AM11" s="7">
        <f>IF(AND($AJ11,$E11,$B11=1),1,0)</f>
        <v>1</v>
      </c>
      <c r="AN11" s="7">
        <f>IF(AND($AJ11,NOT($E11),$B11=1),1,0)</f>
        <v>0</v>
      </c>
      <c r="AO11" s="7">
        <f>IF(AND($E11,$B11=1),1,0)</f>
        <v>1</v>
      </c>
      <c r="AP11" s="7">
        <f>IF(AND(NOT($E11),$B11=1),1,0)</f>
        <v>0</v>
      </c>
      <c r="AQ11" s="7">
        <f>IF(AND($E11,$B11=2),1,0)</f>
        <v>0</v>
      </c>
      <c r="AR11" s="7">
        <f>IF(AND($AJ11,$E11,$B11=2),1,0)</f>
        <v>0</v>
      </c>
      <c r="AS11" s="7">
        <f>IF(AND(NOT($E11),$B11=2),1,0)</f>
        <v>0</v>
      </c>
      <c r="AT11" s="7">
        <f>IF(AND($AJ11,NOT($E11),$B11=2),1,0)</f>
        <v>0</v>
      </c>
      <c r="AU11" s="7">
        <f>IF(AND($E11,$B11=3),1,0)</f>
        <v>0</v>
      </c>
      <c r="AV11" s="7">
        <f>IF(AND(NOT($E11),$B11=3),1,0)</f>
        <v>0</v>
      </c>
      <c r="AW11" s="7">
        <f>IF(AND($AJ11,NOT($E11),$B11=3),1,0)</f>
        <v>0</v>
      </c>
    </row>
    <row r="12" spans="1:49" ht="12.75">
      <c r="A12" s="7">
        <v>15054</v>
      </c>
      <c r="B12" s="7">
        <v>1</v>
      </c>
      <c r="C12" s="7">
        <v>1</v>
      </c>
      <c r="D12" s="7">
        <v>1</v>
      </c>
      <c r="E12" s="7">
        <f>IF(AND(C12,D12),1,0)</f>
        <v>1</v>
      </c>
      <c r="F12" s="7">
        <v>15054</v>
      </c>
      <c r="G12" s="4">
        <v>10</v>
      </c>
      <c r="H12" s="4">
        <v>4.5</v>
      </c>
      <c r="I12" s="4">
        <v>5.5</v>
      </c>
      <c r="J12" s="4">
        <v>3.5</v>
      </c>
      <c r="K12" s="4">
        <v>1.9</v>
      </c>
      <c r="L12" s="4">
        <v>3.4</v>
      </c>
      <c r="M12" s="4">
        <v>3.8</v>
      </c>
      <c r="N12" s="4">
        <v>9.5</v>
      </c>
      <c r="O12" s="4">
        <v>5</v>
      </c>
      <c r="P12" s="4">
        <v>4.5</v>
      </c>
      <c r="Q12" s="4">
        <v>1.8</v>
      </c>
      <c r="R12" s="7">
        <v>12</v>
      </c>
      <c r="S12" s="2">
        <f>IF(E12,R12,0)</f>
        <v>12</v>
      </c>
      <c r="T12" s="2">
        <f>IF(NOT(E12),R12,0)</f>
        <v>0</v>
      </c>
      <c r="U12" s="3">
        <f>SUM(G12:Q12)/11</f>
        <v>4.8545454545454545</v>
      </c>
      <c r="V12" s="3">
        <f>SUM(G12:Q12)/R12</f>
        <v>4.45</v>
      </c>
      <c r="W12" s="4">
        <v>3</v>
      </c>
      <c r="X12" s="7">
        <v>15054</v>
      </c>
      <c r="Y12" s="7">
        <v>2.2</v>
      </c>
      <c r="Z12" s="4">
        <f>W12/2+Y12</f>
        <v>3.7</v>
      </c>
      <c r="AA12" s="7">
        <v>5</v>
      </c>
      <c r="AB12" s="7">
        <v>5.91</v>
      </c>
      <c r="AC12" s="6">
        <f>IF(AND($E12,ISNUMBER($AB12)),$AB12,"")</f>
        <v>5.91</v>
      </c>
      <c r="AD12" s="6" t="str">
        <f>IF(AND(NOT($E12),ISNUMBER($AB12)),$AB12,"")</f>
        <v/>
      </c>
      <c r="AE12" s="4">
        <f>AB12+AA12</f>
        <v>10.91</v>
      </c>
      <c r="AF12" s="7">
        <f>IF(OR($Z12&gt;=4,$AB12&gt;=4,$AA12&gt;=5),1,0)</f>
        <v>1</v>
      </c>
      <c r="AG12" s="7">
        <f>IF(OR($Z12&gt;=4,$AB12&gt;=4,$R12&gt;=10),1,0)</f>
        <v>1</v>
      </c>
      <c r="AH12" s="7">
        <f>IF(OR($Z12&gt;=4,$AB12&gt;=5,$R12&gt;=10),1,0)</f>
        <v>1</v>
      </c>
      <c r="AI12" s="7">
        <f>IF(OR($Z12&gt;=$AI$43,$AB12&gt;=$AI$43,$R12&gt;=10),1,0)</f>
        <v>1</v>
      </c>
      <c r="AJ12" s="7">
        <f>INDIRECT(CONCATENATE($AJ$2,CELL("row",AJ12)))</f>
        <v>1</v>
      </c>
      <c r="AK12" s="7">
        <f>IF(AND(AJ12,E12),1,0)</f>
        <v>1</v>
      </c>
      <c r="AL12" s="7">
        <f>IF(AND(AJ12,NOT(E12)),1,0)</f>
        <v>0</v>
      </c>
      <c r="AM12" s="7">
        <f>IF(AND($AJ12,$E12,$B12=1),1,0)</f>
        <v>1</v>
      </c>
      <c r="AN12" s="7">
        <f>IF(AND($AJ12,NOT($E12),$B12=1),1,0)</f>
        <v>0</v>
      </c>
      <c r="AO12" s="7">
        <f>IF(AND($E12,$B12=1),1,0)</f>
        <v>1</v>
      </c>
      <c r="AP12" s="7">
        <f>IF(AND(NOT($E12),$B12=1),1,0)</f>
        <v>0</v>
      </c>
      <c r="AQ12" s="7">
        <f>IF(AND($E12,$B12=2),1,0)</f>
        <v>0</v>
      </c>
      <c r="AR12" s="7">
        <f>IF(AND($AJ12,$E12,$B12=2),1,0)</f>
        <v>0</v>
      </c>
      <c r="AS12" s="7">
        <f>IF(AND(NOT($E12),$B12=2),1,0)</f>
        <v>0</v>
      </c>
      <c r="AT12" s="7">
        <f>IF(AND($AJ12,NOT($E12),$B12=2),1,0)</f>
        <v>0</v>
      </c>
      <c r="AU12" s="7">
        <f>IF(AND($E12,$B12=3),1,0)</f>
        <v>0</v>
      </c>
      <c r="AV12" s="7">
        <f>IF(AND(NOT($E12),$B12=3),1,0)</f>
        <v>0</v>
      </c>
      <c r="AW12" s="7">
        <f>IF(AND($AJ12,NOT($E12),$B12=3),1,0)</f>
        <v>0</v>
      </c>
    </row>
    <row r="13" spans="1:49" ht="12.75">
      <c r="A13" s="7">
        <v>15068</v>
      </c>
      <c r="B13" s="7">
        <v>1</v>
      </c>
      <c r="C13" s="7">
        <v>1</v>
      </c>
      <c r="D13" s="7">
        <v>1</v>
      </c>
      <c r="E13" s="7">
        <f>IF(AND(C13,D13),1,0)</f>
        <v>1</v>
      </c>
      <c r="F13" s="7">
        <v>15068</v>
      </c>
      <c r="G13" s="4">
        <v>10</v>
      </c>
      <c r="H13" s="4">
        <v>8</v>
      </c>
      <c r="I13" s="4">
        <v>7</v>
      </c>
      <c r="J13" s="4">
        <v>8.5</v>
      </c>
      <c r="K13" s="4">
        <v>9</v>
      </c>
      <c r="L13" s="4">
        <v>5.1</v>
      </c>
      <c r="M13" s="4">
        <v>2.8</v>
      </c>
      <c r="N13" s="4">
        <v>10</v>
      </c>
      <c r="O13" s="4">
        <v>7.5</v>
      </c>
      <c r="P13" s="4">
        <v>8.5</v>
      </c>
      <c r="Q13" s="4">
        <v>5.4</v>
      </c>
      <c r="R13" s="7">
        <v>12</v>
      </c>
      <c r="S13" s="2">
        <f>IF(E13,R13,0)</f>
        <v>12</v>
      </c>
      <c r="T13" s="2">
        <f>IF(NOT(E13),R13,0)</f>
        <v>0</v>
      </c>
      <c r="U13" s="3">
        <f>SUM(G13:Q13)/11</f>
        <v>7.4363636363636365</v>
      </c>
      <c r="V13" s="3">
        <f>SUM(G13:Q13)/R13</f>
        <v>6.816666666666666</v>
      </c>
      <c r="W13" s="4">
        <v>10</v>
      </c>
      <c r="X13" s="7">
        <v>15068</v>
      </c>
      <c r="Y13" s="7">
        <v>3.55</v>
      </c>
      <c r="Z13" s="4">
        <f>W13/2+Y13</f>
        <v>8.55</v>
      </c>
      <c r="AA13" s="7">
        <v>8.6</v>
      </c>
      <c r="AB13" s="7">
        <v>8.59</v>
      </c>
      <c r="AC13" s="6">
        <f>IF(AND($E13,ISNUMBER($AB13)),$AB13,"")</f>
        <v>8.59</v>
      </c>
      <c r="AD13" s="6" t="str">
        <f>IF(AND(NOT($E13),ISNUMBER($AB13)),$AB13,"")</f>
        <v/>
      </c>
      <c r="AE13" s="4">
        <f>AB13+AA13</f>
        <v>17.189999999999998</v>
      </c>
      <c r="AF13" s="7">
        <f>IF(OR($Z13&gt;=4,$AB13&gt;=4,$AA13&gt;=5),1,0)</f>
        <v>1</v>
      </c>
      <c r="AG13" s="7">
        <f>IF(OR($Z13&gt;=4,$AB13&gt;=4,$R13&gt;=10),1,0)</f>
        <v>1</v>
      </c>
      <c r="AH13" s="7">
        <f>IF(OR($Z13&gt;=4,$AB13&gt;=5,$R13&gt;=10),1,0)</f>
        <v>1</v>
      </c>
      <c r="AI13" s="7">
        <f>IF(OR($Z13&gt;=$AI$43,$AB13&gt;=$AI$43,$R13&gt;=10),1,0)</f>
        <v>1</v>
      </c>
      <c r="AJ13" s="7">
        <f>INDIRECT(CONCATENATE($AJ$2,CELL("row",AJ13)))</f>
        <v>1</v>
      </c>
      <c r="AK13" s="7">
        <f>IF(AND(AJ13,E13),1,0)</f>
        <v>1</v>
      </c>
      <c r="AL13" s="7">
        <f>IF(AND(AJ13,NOT(E13)),1,0)</f>
        <v>0</v>
      </c>
      <c r="AM13" s="7">
        <f>IF(AND($AJ13,$E13,$B13=1),1,0)</f>
        <v>1</v>
      </c>
      <c r="AN13" s="7">
        <f>IF(AND($AJ13,NOT($E13),$B13=1),1,0)</f>
        <v>0</v>
      </c>
      <c r="AO13" s="7">
        <f>IF(AND($E13,$B13=1),1,0)</f>
        <v>1</v>
      </c>
      <c r="AP13" s="7">
        <f>IF(AND(NOT($E13),$B13=1),1,0)</f>
        <v>0</v>
      </c>
      <c r="AQ13" s="7">
        <f>IF(AND($E13,$B13=2),1,0)</f>
        <v>0</v>
      </c>
      <c r="AR13" s="7">
        <f>IF(AND($AJ13,$E13,$B13=2),1,0)</f>
        <v>0</v>
      </c>
      <c r="AS13" s="7">
        <f>IF(AND(NOT($E13),$B13=2),1,0)</f>
        <v>0</v>
      </c>
      <c r="AT13" s="7">
        <f>IF(AND($AJ13,NOT($E13),$B13=2),1,0)</f>
        <v>0</v>
      </c>
      <c r="AU13" s="7">
        <f>IF(AND($E13,$B13=3),1,0)</f>
        <v>0</v>
      </c>
      <c r="AV13" s="7">
        <f>IF(AND(NOT($E13),$B13=3),1,0)</f>
        <v>0</v>
      </c>
      <c r="AW13" s="7">
        <f>IF(AND($AJ13,NOT($E13),$B13=3),1,0)</f>
        <v>0</v>
      </c>
    </row>
    <row r="14" spans="1:49" ht="12.75">
      <c r="A14" s="7">
        <v>15085</v>
      </c>
      <c r="B14" s="7">
        <v>1</v>
      </c>
      <c r="C14" s="7">
        <v>1</v>
      </c>
      <c r="D14" s="7">
        <v>0</v>
      </c>
      <c r="E14" s="7">
        <f>IF(AND(C14,D14),1,0)</f>
        <v>0</v>
      </c>
      <c r="F14" s="7">
        <v>15085</v>
      </c>
      <c r="G14" s="4">
        <v>3.5</v>
      </c>
      <c r="H14" s="4">
        <v>5</v>
      </c>
      <c r="I14" s="4">
        <v>2</v>
      </c>
      <c r="J14" s="4">
        <v>2</v>
      </c>
      <c r="K14" s="4">
        <v>0</v>
      </c>
      <c r="L14" s="4">
        <v>0.5</v>
      </c>
      <c r="M14" s="4">
        <v>2.8</v>
      </c>
      <c r="N14" s="4">
        <v>3</v>
      </c>
      <c r="O14" s="4">
        <v>2.5</v>
      </c>
      <c r="Q14" s="4"/>
      <c r="R14" s="7">
        <v>10</v>
      </c>
      <c r="S14" s="2">
        <f>IF(E14,R14,0)</f>
        <v>0</v>
      </c>
      <c r="T14" s="2">
        <f>IF(NOT(E14),R14,0)</f>
        <v>10</v>
      </c>
      <c r="U14" s="3">
        <f>SUM(G14:Q14)/11</f>
        <v>1.9363636363636365</v>
      </c>
      <c r="V14" s="3">
        <f>SUM(G14:Q14)/R14</f>
        <v>2.13</v>
      </c>
      <c r="W14" s="4">
        <v>4</v>
      </c>
      <c r="X14" s="7">
        <v>15085</v>
      </c>
      <c r="Y14" s="7">
        <v>0.2</v>
      </c>
      <c r="Z14" s="4">
        <f>W14/2+Y14</f>
        <v>2.2</v>
      </c>
      <c r="AA14" s="7">
        <v>2.4</v>
      </c>
      <c r="AB14" s="7">
        <v>2.36</v>
      </c>
      <c r="AC14" s="6" t="str">
        <f>IF(AND($E14,ISNUMBER($AB14)),$AB14,"")</f>
        <v/>
      </c>
      <c r="AD14" s="6">
        <f>IF(AND(NOT($E14),ISNUMBER($AB14)),$AB14,"")</f>
        <v>2.36</v>
      </c>
      <c r="AE14" s="4">
        <f>AB14+AA14</f>
        <v>4.76</v>
      </c>
      <c r="AF14" s="7">
        <f>IF(OR($Z14&gt;=4,$AB14&gt;=4,$AA14&gt;=5),1,0)</f>
        <v>0</v>
      </c>
      <c r="AG14" s="7">
        <f>IF(OR($Z14&gt;=4,$AB14&gt;=4,$R14&gt;=10),1,0)</f>
        <v>1</v>
      </c>
      <c r="AH14" s="7">
        <f>IF(OR($Z14&gt;=4,$AB14&gt;=5,$R14&gt;=10),1,0)</f>
        <v>1</v>
      </c>
      <c r="AI14" s="7">
        <f>IF(OR($Z14&gt;=$AI$43,$AB14&gt;=$AI$43,$R14&gt;=10),1,0)</f>
        <v>1</v>
      </c>
      <c r="AJ14" s="7">
        <f>INDIRECT(CONCATENATE($AJ$2,CELL("row",AJ14)))</f>
        <v>1</v>
      </c>
      <c r="AK14" s="7">
        <f>IF(AND(AJ14,E14),1,0)</f>
        <v>0</v>
      </c>
      <c r="AL14" s="7">
        <f>IF(AND(AJ14,NOT(E14)),1,0)</f>
        <v>1</v>
      </c>
      <c r="AM14" s="7">
        <f>IF(AND($AJ14,$E14,$B14=1),1,0)</f>
        <v>0</v>
      </c>
      <c r="AN14" s="7">
        <f>IF(AND($AJ14,NOT($E14),$B14=1),1,0)</f>
        <v>1</v>
      </c>
      <c r="AO14" s="7">
        <f>IF(AND($E14,$B14=1),1,0)</f>
        <v>0</v>
      </c>
      <c r="AP14" s="7">
        <f>IF(AND(NOT($E14),$B14=1),1,0)</f>
        <v>1</v>
      </c>
      <c r="AQ14" s="7">
        <f>IF(AND($E14,$B14=2),1,0)</f>
        <v>0</v>
      </c>
      <c r="AR14" s="7">
        <f>IF(AND($AJ14,$E14,$B14=2),1,0)</f>
        <v>0</v>
      </c>
      <c r="AS14" s="7">
        <f>IF(AND(NOT($E14),$B14=2),1,0)</f>
        <v>0</v>
      </c>
      <c r="AT14" s="7">
        <f>IF(AND($AJ14,NOT($E14),$B14=2),1,0)</f>
        <v>0</v>
      </c>
      <c r="AU14" s="7">
        <f>IF(AND($E14,$B14=3),1,0)</f>
        <v>0</v>
      </c>
      <c r="AV14" s="7">
        <f>IF(AND(NOT($E14),$B14=3),1,0)</f>
        <v>0</v>
      </c>
      <c r="AW14" s="7">
        <f>IF(AND($AJ14,NOT($E14),$B14=3),1,0)</f>
        <v>0</v>
      </c>
    </row>
    <row r="15" spans="1:49" ht="12.75">
      <c r="A15" s="7">
        <v>15118</v>
      </c>
      <c r="B15" s="7">
        <v>1</v>
      </c>
      <c r="C15" s="7">
        <v>1</v>
      </c>
      <c r="D15" s="7">
        <v>1</v>
      </c>
      <c r="E15" s="7">
        <f>IF(AND(C15,D15),1,0)</f>
        <v>1</v>
      </c>
      <c r="F15" s="7">
        <v>15118</v>
      </c>
      <c r="G15" s="4">
        <v>4.5</v>
      </c>
      <c r="H15" s="4">
        <v>3</v>
      </c>
      <c r="I15" s="4">
        <v>2.5</v>
      </c>
      <c r="J15" s="4">
        <v>9</v>
      </c>
      <c r="K15" s="4">
        <v>0</v>
      </c>
      <c r="L15" s="4">
        <v>4</v>
      </c>
      <c r="N15" s="4"/>
      <c r="O15" s="4"/>
      <c r="P15" s="4"/>
      <c r="Q15" s="4"/>
      <c r="R15" s="7">
        <v>6</v>
      </c>
      <c r="S15" s="2">
        <f>IF(E15,R15,0)</f>
        <v>6</v>
      </c>
      <c r="T15" s="2">
        <f>IF(NOT(E15),R15,0)</f>
        <v>0</v>
      </c>
      <c r="U15" s="3">
        <f>SUM(G15:Q15)/11</f>
        <v>2.090909090909091</v>
      </c>
      <c r="V15" s="3">
        <f>SUM(G15:Q15)/R15</f>
        <v>3.8333333333333335</v>
      </c>
      <c r="W15" s="4">
        <v>5.5</v>
      </c>
      <c r="X15" s="7">
        <v>15118</v>
      </c>
      <c r="Y15" s="7">
        <v>0.85</v>
      </c>
      <c r="Z15" s="4">
        <f>W15/2+Y15</f>
        <v>3.6</v>
      </c>
      <c r="AA15" s="7">
        <v>3.6</v>
      </c>
      <c r="AB15" s="7">
        <v>2.48</v>
      </c>
      <c r="AC15" s="6">
        <f>IF(AND($E15,ISNUMBER($AB15)),$AB15,"")</f>
        <v>2.48</v>
      </c>
      <c r="AD15" s="6" t="str">
        <f>IF(AND(NOT($E15),ISNUMBER($AB15)),$AB15,"")</f>
        <v/>
      </c>
      <c r="AE15" s="4">
        <f>AB15+AA15</f>
        <v>6.08</v>
      </c>
      <c r="AF15" s="7">
        <f>IF(OR($Z15&gt;=4,$AB15&gt;=4,$AA15&gt;=5),1,0)</f>
        <v>0</v>
      </c>
      <c r="AG15" s="7">
        <f>IF(OR($Z15&gt;=4,$AB15&gt;=4,$R15&gt;=10),1,0)</f>
        <v>0</v>
      </c>
      <c r="AH15" s="7">
        <f>IF(OR($Z15&gt;=4,$AB15&gt;=5,$R15&gt;=10),1,0)</f>
        <v>0</v>
      </c>
      <c r="AI15" s="7">
        <f>IF(OR($Z15&gt;=$AI$43,$AB15&gt;=$AI$43,$R15&gt;=10),1,0)</f>
        <v>1</v>
      </c>
      <c r="AJ15" s="7">
        <f>INDIRECT(CONCATENATE($AJ$2,CELL("row",AJ15)))</f>
        <v>1</v>
      </c>
      <c r="AK15" s="7">
        <f>IF(AND(AJ15,E15),1,0)</f>
        <v>1</v>
      </c>
      <c r="AL15" s="7">
        <f>IF(AND(AJ15,NOT(E15)),1,0)</f>
        <v>0</v>
      </c>
      <c r="AM15" s="7">
        <f>IF(AND($AJ15,$E15,$B15=1),1,0)</f>
        <v>1</v>
      </c>
      <c r="AN15" s="7">
        <f>IF(AND($AJ15,NOT($E15),$B15=1),1,0)</f>
        <v>0</v>
      </c>
      <c r="AO15" s="7">
        <f>IF(AND($E15,$B15=1),1,0)</f>
        <v>1</v>
      </c>
      <c r="AP15" s="7">
        <f>IF(AND(NOT($E15),$B15=1),1,0)</f>
        <v>0</v>
      </c>
      <c r="AQ15" s="7">
        <f>IF(AND($E15,$B15=2),1,0)</f>
        <v>0</v>
      </c>
      <c r="AR15" s="7">
        <f>IF(AND($AJ15,$E15,$B15=2),1,0)</f>
        <v>0</v>
      </c>
      <c r="AS15" s="7">
        <f>IF(AND(NOT($E15),$B15=2),1,0)</f>
        <v>0</v>
      </c>
      <c r="AT15" s="7">
        <f>IF(AND($AJ15,NOT($E15),$B15=2),1,0)</f>
        <v>0</v>
      </c>
      <c r="AU15" s="7">
        <f>IF(AND($E15,$B15=3),1,0)</f>
        <v>0</v>
      </c>
      <c r="AV15" s="7">
        <f>IF(AND(NOT($E15),$B15=3),1,0)</f>
        <v>0</v>
      </c>
      <c r="AW15" s="7">
        <f>IF(AND($AJ15,NOT($E15),$B15=3),1,0)</f>
        <v>0</v>
      </c>
    </row>
    <row r="16" spans="1:49" ht="12.75">
      <c r="A16" s="7">
        <v>15132</v>
      </c>
      <c r="B16" s="7">
        <v>1</v>
      </c>
      <c r="C16" s="7">
        <v>1</v>
      </c>
      <c r="D16" s="7">
        <v>1</v>
      </c>
      <c r="E16" s="7">
        <f>IF(AND(C16,D16),1,0)</f>
        <v>1</v>
      </c>
      <c r="F16" s="7">
        <v>15132</v>
      </c>
      <c r="G16" s="4">
        <v>7</v>
      </c>
      <c r="H16" s="4">
        <v>4</v>
      </c>
      <c r="I16" s="4">
        <v>2</v>
      </c>
      <c r="J16" s="4">
        <v>6.5</v>
      </c>
      <c r="K16" s="4">
        <v>1.3</v>
      </c>
      <c r="M16" s="4"/>
      <c r="N16" s="4"/>
      <c r="O16" s="4"/>
      <c r="P16" s="4"/>
      <c r="Q16" s="4"/>
      <c r="R16" s="7">
        <v>5</v>
      </c>
      <c r="S16" s="2">
        <f>IF(E16,R16,0)</f>
        <v>5</v>
      </c>
      <c r="T16" s="2">
        <f>IF(NOT(E16),R16,0)</f>
        <v>0</v>
      </c>
      <c r="U16" s="3">
        <f>SUM(G16:Q16)/11</f>
        <v>1.8909090909090909</v>
      </c>
      <c r="V16" s="3">
        <f>SUM(G16:Q16)/R16</f>
        <v>4.16</v>
      </c>
      <c r="W16" s="4">
        <v>4.8</v>
      </c>
      <c r="X16" s="7">
        <v>15132</v>
      </c>
      <c r="Y16" s="7">
        <v>1.25</v>
      </c>
      <c r="Z16" s="4">
        <f>W16/2+Y16</f>
        <v>3.65</v>
      </c>
      <c r="AA16" s="7">
        <v>3.6</v>
      </c>
      <c r="AB16" s="7">
        <v>2.27</v>
      </c>
      <c r="AC16" s="6">
        <f>IF(AND($E16,ISNUMBER($AB16)),$AB16,"")</f>
        <v>2.27</v>
      </c>
      <c r="AD16" s="6" t="str">
        <f>IF(AND(NOT($E16),ISNUMBER($AB16)),$AB16,"")</f>
        <v/>
      </c>
      <c r="AE16" s="4">
        <f>AB16+AA16</f>
        <v>5.87</v>
      </c>
      <c r="AF16" s="7">
        <f>IF(OR($Z16&gt;=4,$AB16&gt;=4,$AA16&gt;=5),1,0)</f>
        <v>0</v>
      </c>
      <c r="AG16" s="7">
        <f>IF(OR($Z16&gt;=4,$AB16&gt;=4,$R16&gt;=10),1,0)</f>
        <v>0</v>
      </c>
      <c r="AH16" s="7">
        <f>IF(OR($Z16&gt;=4,$AB16&gt;=5,$R16&gt;=10),1,0)</f>
        <v>0</v>
      </c>
      <c r="AI16" s="7">
        <f>IF(OR($Z16&gt;=$AI$43,$AB16&gt;=$AI$43,$R16&gt;=10),1,0)</f>
        <v>1</v>
      </c>
      <c r="AJ16" s="7">
        <f>INDIRECT(CONCATENATE($AJ$2,CELL("row",AJ16)))</f>
        <v>1</v>
      </c>
      <c r="AK16" s="7">
        <f>IF(AND(AJ16,E16),1,0)</f>
        <v>1</v>
      </c>
      <c r="AL16" s="7">
        <f>IF(AND(AJ16,NOT(E16)),1,0)</f>
        <v>0</v>
      </c>
      <c r="AM16" s="7">
        <f>IF(AND($AJ16,$E16,$B16=1),1,0)</f>
        <v>1</v>
      </c>
      <c r="AN16" s="7">
        <f>IF(AND($AJ16,NOT($E16),$B16=1),1,0)</f>
        <v>0</v>
      </c>
      <c r="AO16" s="7">
        <f>IF(AND($E16,$B16=1),1,0)</f>
        <v>1</v>
      </c>
      <c r="AP16" s="7">
        <f>IF(AND(NOT($E16),$B16=1),1,0)</f>
        <v>0</v>
      </c>
      <c r="AQ16" s="7">
        <f>IF(AND($E16,$B16=2),1,0)</f>
        <v>0</v>
      </c>
      <c r="AR16" s="7">
        <f>IF(AND($AJ16,$E16,$B16=2),1,0)</f>
        <v>0</v>
      </c>
      <c r="AS16" s="7">
        <f>IF(AND(NOT($E16),$B16=2),1,0)</f>
        <v>0</v>
      </c>
      <c r="AT16" s="7">
        <f>IF(AND($AJ16,NOT($E16),$B16=2),1,0)</f>
        <v>0</v>
      </c>
      <c r="AU16" s="7">
        <f>IF(AND($E16,$B16=3),1,0)</f>
        <v>0</v>
      </c>
      <c r="AV16" s="7">
        <f>IF(AND(NOT($E16),$B16=3),1,0)</f>
        <v>0</v>
      </c>
      <c r="AW16" s="7">
        <f>IF(AND($AJ16,NOT($E16),$B16=3),1,0)</f>
        <v>0</v>
      </c>
    </row>
    <row r="17" spans="1:49" ht="12.75">
      <c r="A17" s="7">
        <v>15160</v>
      </c>
      <c r="B17" s="7">
        <v>1</v>
      </c>
      <c r="C17" s="7">
        <v>1</v>
      </c>
      <c r="D17" s="7">
        <v>0</v>
      </c>
      <c r="E17" s="7">
        <f>IF(AND(C17,D17),1,0)</f>
        <v>0</v>
      </c>
      <c r="F17" s="7">
        <v>15160</v>
      </c>
      <c r="G17" s="4">
        <v>1</v>
      </c>
      <c r="H17" s="4">
        <v>4</v>
      </c>
      <c r="J17" s="4"/>
      <c r="K17" s="4"/>
      <c r="L17" s="4"/>
      <c r="M17" s="4"/>
      <c r="N17" s="4"/>
      <c r="O17" s="4"/>
      <c r="P17" s="4"/>
      <c r="Q17" s="4"/>
      <c r="R17" s="7">
        <v>2</v>
      </c>
      <c r="S17" s="2">
        <f>IF(E17,R17,0)</f>
        <v>0</v>
      </c>
      <c r="T17" s="2">
        <f>IF(NOT(E17),R17,0)</f>
        <v>2</v>
      </c>
      <c r="U17" s="3">
        <f>SUM(G17:Q17)/11</f>
        <v>0.45454545454545453</v>
      </c>
      <c r="V17" s="3">
        <f>SUM(G17:Q17)/R17</f>
        <v>2.5</v>
      </c>
      <c r="W17" s="4">
        <v>1</v>
      </c>
      <c r="X17" s="7">
        <v>15160</v>
      </c>
      <c r="Z17" s="4">
        <f>W17/2+Y17</f>
        <v>0.5</v>
      </c>
      <c r="AA17" s="7">
        <v>0.57</v>
      </c>
      <c r="AB17" s="7">
        <v>0.569</v>
      </c>
      <c r="AC17" s="6" t="str">
        <f>IF(AND($E17,ISNUMBER($AB17)),$AB17,"")</f>
        <v/>
      </c>
      <c r="AD17" s="6">
        <f>IF(AND(NOT($E17),ISNUMBER($AB17)),$AB17,"")</f>
        <v>0.569</v>
      </c>
      <c r="AE17" s="4">
        <f>AB17+AA17</f>
        <v>1.1389999999999998</v>
      </c>
      <c r="AF17" s="7">
        <f>IF(OR($Z17&gt;=4,$AB17&gt;=4,$AA17&gt;=5),1,0)</f>
        <v>0</v>
      </c>
      <c r="AG17" s="7">
        <f>IF(OR($Z17&gt;=4,$AB17&gt;=4,$R17&gt;=10),1,0)</f>
        <v>0</v>
      </c>
      <c r="AH17" s="7">
        <f>IF(OR($Z17&gt;=4,$AB17&gt;=5,$R17&gt;=10),1,0)</f>
        <v>0</v>
      </c>
      <c r="AI17" s="7">
        <f>IF(OR($Z17&gt;=$AI$43,$AB17&gt;=$AI$43,$R17&gt;=10),1,0)</f>
        <v>0</v>
      </c>
      <c r="AJ17" s="7">
        <f>INDIRECT(CONCATENATE($AJ$2,CELL("row",AJ17)))</f>
        <v>0</v>
      </c>
      <c r="AK17" s="7">
        <f>IF(AND(AJ17,E17),1,0)</f>
        <v>0</v>
      </c>
      <c r="AL17" s="7">
        <f>IF(AND(AJ17,NOT(E17)),1,0)</f>
        <v>0</v>
      </c>
      <c r="AM17" s="7">
        <f>IF(AND($AJ17,$E17,$B17=1),1,0)</f>
        <v>0</v>
      </c>
      <c r="AN17" s="7">
        <f>IF(AND($AJ17,NOT($E17),$B17=1),1,0)</f>
        <v>0</v>
      </c>
      <c r="AO17" s="7">
        <f>IF(AND($E17,$B17=1),1,0)</f>
        <v>0</v>
      </c>
      <c r="AP17" s="7">
        <f>IF(AND(NOT($E17),$B17=1),1,0)</f>
        <v>1</v>
      </c>
      <c r="AQ17" s="7">
        <f>IF(AND($E17,$B17=2),1,0)</f>
        <v>0</v>
      </c>
      <c r="AR17" s="7">
        <f>IF(AND($AJ17,$E17,$B17=2),1,0)</f>
        <v>0</v>
      </c>
      <c r="AS17" s="7">
        <f>IF(AND(NOT($E17),$B17=2),1,0)</f>
        <v>0</v>
      </c>
      <c r="AT17" s="7">
        <f>IF(AND($AJ17,NOT($E17),$B17=2),1,0)</f>
        <v>0</v>
      </c>
      <c r="AU17" s="7">
        <f>IF(AND($E17,$B17=3),1,0)</f>
        <v>0</v>
      </c>
      <c r="AV17" s="7">
        <f>IF(AND(NOT($E17),$B17=3),1,0)</f>
        <v>0</v>
      </c>
      <c r="AW17" s="7">
        <f>IF(AND($AJ17,NOT($E17),$B17=3),1,0)</f>
        <v>0</v>
      </c>
    </row>
    <row r="18" spans="1:49" ht="12.75">
      <c r="A18" s="7">
        <v>15161</v>
      </c>
      <c r="B18" s="7">
        <v>1</v>
      </c>
      <c r="C18" s="7">
        <v>1</v>
      </c>
      <c r="D18" s="7">
        <v>0</v>
      </c>
      <c r="E18" s="7">
        <f>IF(AND(C18,D18),1,0)</f>
        <v>0</v>
      </c>
      <c r="F18" s="7">
        <v>15161</v>
      </c>
      <c r="G18" s="4">
        <v>3.5</v>
      </c>
      <c r="H18" s="4">
        <v>2.5</v>
      </c>
      <c r="I18" s="4">
        <v>2</v>
      </c>
      <c r="J18" s="4">
        <v>5</v>
      </c>
      <c r="K18" s="4">
        <v>0</v>
      </c>
      <c r="L18" s="4">
        <v>0.5</v>
      </c>
      <c r="M18" s="4">
        <v>5.6</v>
      </c>
      <c r="N18" s="4">
        <v>8</v>
      </c>
      <c r="O18" s="4">
        <v>7.5</v>
      </c>
      <c r="P18" s="4">
        <v>6.6</v>
      </c>
      <c r="R18" s="7">
        <v>11</v>
      </c>
      <c r="S18" s="2">
        <f>IF(E18,R18,0)</f>
        <v>0</v>
      </c>
      <c r="T18" s="2">
        <f>IF(NOT(E18),R18,0)</f>
        <v>11</v>
      </c>
      <c r="U18" s="3">
        <f>SUM(G18:Q18)/11</f>
        <v>3.7454545454545456</v>
      </c>
      <c r="V18" s="3">
        <f>SUM(G18:Q18)/R18</f>
        <v>3.7454545454545456</v>
      </c>
      <c r="W18" s="4">
        <v>2.5</v>
      </c>
      <c r="X18" s="7">
        <v>15161</v>
      </c>
      <c r="Y18" s="7">
        <v>1.65</v>
      </c>
      <c r="Z18" s="4">
        <f>W18/2+Y18</f>
        <v>2.9</v>
      </c>
      <c r="AA18" s="7">
        <v>4.9</v>
      </c>
      <c r="AB18" s="7">
        <v>4.87</v>
      </c>
      <c r="AC18" s="6" t="str">
        <f>IF(AND($E18,ISNUMBER($AB18)),$AB18,"")</f>
        <v/>
      </c>
      <c r="AD18" s="6">
        <f>IF(AND(NOT($E18),ISNUMBER($AB18)),$AB18,"")</f>
        <v>4.87</v>
      </c>
      <c r="AE18" s="4">
        <f>AB18+AA18</f>
        <v>9.77</v>
      </c>
      <c r="AF18" s="7">
        <f>IF(OR($Z18&gt;=4,$AB18&gt;=4,$AA18&gt;=5),1,0)</f>
        <v>1</v>
      </c>
      <c r="AG18" s="7">
        <f>IF(OR($Z18&gt;=4,$AB18&gt;=4,$R18&gt;=10),1,0)</f>
        <v>1</v>
      </c>
      <c r="AH18" s="7">
        <f>IF(OR($Z18&gt;=4,$AB18&gt;=5,$R18&gt;=10),1,0)</f>
        <v>1</v>
      </c>
      <c r="AI18" s="7">
        <f>IF(OR($Z18&gt;=$AI$43,$AB18&gt;=$AI$43,$R18&gt;=10),1,0)</f>
        <v>1</v>
      </c>
      <c r="AJ18" s="7">
        <f>INDIRECT(CONCATENATE($AJ$2,CELL("row",AJ18)))</f>
        <v>1</v>
      </c>
      <c r="AK18" s="7">
        <f>IF(AND(AJ18,E18),1,0)</f>
        <v>0</v>
      </c>
      <c r="AL18" s="7">
        <f>IF(AND(AJ18,NOT(E18)),1,0)</f>
        <v>1</v>
      </c>
      <c r="AM18" s="7">
        <f>IF(AND($AJ18,$E18,$B18=1),1,0)</f>
        <v>0</v>
      </c>
      <c r="AN18" s="7">
        <f>IF(AND($AJ18,NOT($E18),$B18=1),1,0)</f>
        <v>1</v>
      </c>
      <c r="AO18" s="7">
        <f>IF(AND($E18,$B18=1),1,0)</f>
        <v>0</v>
      </c>
      <c r="AP18" s="7">
        <f>IF(AND(NOT($E18),$B18=1),1,0)</f>
        <v>1</v>
      </c>
      <c r="AQ18" s="7">
        <f>IF(AND($E18,$B18=2),1,0)</f>
        <v>0</v>
      </c>
      <c r="AR18" s="7">
        <f>IF(AND($AJ18,$E18,$B18=2),1,0)</f>
        <v>0</v>
      </c>
      <c r="AS18" s="7">
        <f>IF(AND(NOT($E18),$B18=2),1,0)</f>
        <v>0</v>
      </c>
      <c r="AT18" s="7">
        <f>IF(AND($AJ18,NOT($E18),$B18=2),1,0)</f>
        <v>0</v>
      </c>
      <c r="AU18" s="7">
        <f>IF(AND($E18,$B18=3),1,0)</f>
        <v>0</v>
      </c>
      <c r="AV18" s="7">
        <f>IF(AND(NOT($E18),$B18=3),1,0)</f>
        <v>0</v>
      </c>
      <c r="AW18" s="7">
        <f>IF(AND($AJ18,NOT($E18),$B18=3),1,0)</f>
        <v>0</v>
      </c>
    </row>
    <row r="19" spans="1:49" ht="12.75">
      <c r="A19" s="7">
        <v>15176</v>
      </c>
      <c r="B19" s="7">
        <v>1</v>
      </c>
      <c r="C19" s="7">
        <v>1</v>
      </c>
      <c r="D19" s="7">
        <v>1</v>
      </c>
      <c r="E19" s="7">
        <f>IF(AND(C19,D19),1,0)</f>
        <v>1</v>
      </c>
      <c r="F19" s="7">
        <v>15176</v>
      </c>
      <c r="G19" s="4">
        <v>6</v>
      </c>
      <c r="H19" s="4">
        <v>4</v>
      </c>
      <c r="I19" s="4">
        <v>1.5</v>
      </c>
      <c r="J19" s="4">
        <v>1</v>
      </c>
      <c r="K19" s="4">
        <v>1.7</v>
      </c>
      <c r="L19" s="4">
        <v>2</v>
      </c>
      <c r="M19" s="4">
        <v>9</v>
      </c>
      <c r="N19" s="4">
        <v>4</v>
      </c>
      <c r="O19" s="4">
        <v>5</v>
      </c>
      <c r="P19" s="4">
        <v>1.2</v>
      </c>
      <c r="R19" s="7">
        <v>10</v>
      </c>
      <c r="S19" s="2">
        <f>IF(E19,R19,0)</f>
        <v>10</v>
      </c>
      <c r="T19" s="2">
        <f>IF(NOT(E19),R19,0)</f>
        <v>0</v>
      </c>
      <c r="U19" s="3">
        <f>SUM(G19:Q19)/11</f>
        <v>3.2181818181818183</v>
      </c>
      <c r="V19" s="3">
        <f>SUM(G19:Q19)/R19</f>
        <v>3.54</v>
      </c>
      <c r="W19" s="4">
        <v>2</v>
      </c>
      <c r="X19" s="7">
        <v>15176</v>
      </c>
      <c r="Z19" s="4">
        <f>W19/2+Y19</f>
        <v>1</v>
      </c>
      <c r="AA19" s="7">
        <v>3.8</v>
      </c>
      <c r="AB19" s="7">
        <v>3.79</v>
      </c>
      <c r="AC19" s="6">
        <f>IF(AND($E19,ISNUMBER($AB19)),$AB19,"")</f>
        <v>3.79</v>
      </c>
      <c r="AD19" s="6" t="str">
        <f>IF(AND(NOT($E19),ISNUMBER($AB19)),$AB19,"")</f>
        <v/>
      </c>
      <c r="AE19" s="4">
        <f>AB19+AA19</f>
        <v>7.59</v>
      </c>
      <c r="AF19" s="7">
        <f>IF(OR($Z19&gt;=4,$AB19&gt;=4,$AA19&gt;=5),1,0)</f>
        <v>0</v>
      </c>
      <c r="AG19" s="7">
        <f>IF(OR($Z19&gt;=4,$AB19&gt;=4,$R19&gt;=10),1,0)</f>
        <v>1</v>
      </c>
      <c r="AH19" s="7">
        <f>IF(OR($Z19&gt;=4,$AB19&gt;=5,$R19&gt;=10),1,0)</f>
        <v>1</v>
      </c>
      <c r="AI19" s="7">
        <f>IF(OR($Z19&gt;=$AI$43,$AB19&gt;=$AI$43,$R19&gt;=10),1,0)</f>
        <v>1</v>
      </c>
      <c r="AJ19" s="7">
        <f>INDIRECT(CONCATENATE($AJ$2,CELL("row",AJ19)))</f>
        <v>1</v>
      </c>
      <c r="AK19" s="7">
        <f>IF(AND(AJ19,E19),1,0)</f>
        <v>1</v>
      </c>
      <c r="AL19" s="7">
        <f>IF(AND(AJ19,NOT(E19)),1,0)</f>
        <v>0</v>
      </c>
      <c r="AM19" s="7">
        <f>IF(AND($AJ19,$E19,$B19=1),1,0)</f>
        <v>1</v>
      </c>
      <c r="AN19" s="7">
        <f>IF(AND($AJ19,NOT($E19),$B19=1),1,0)</f>
        <v>0</v>
      </c>
      <c r="AO19" s="7">
        <f>IF(AND($E19,$B19=1),1,0)</f>
        <v>1</v>
      </c>
      <c r="AP19" s="7">
        <f>IF(AND(NOT($E19),$B19=1),1,0)</f>
        <v>0</v>
      </c>
      <c r="AQ19" s="7">
        <f>IF(AND($E19,$B19=2),1,0)</f>
        <v>0</v>
      </c>
      <c r="AR19" s="7">
        <f>IF(AND($AJ19,$E19,$B19=2),1,0)</f>
        <v>0</v>
      </c>
      <c r="AS19" s="7">
        <f>IF(AND(NOT($E19),$B19=2),1,0)</f>
        <v>0</v>
      </c>
      <c r="AT19" s="7">
        <f>IF(AND($AJ19,NOT($E19),$B19=2),1,0)</f>
        <v>0</v>
      </c>
      <c r="AU19" s="7">
        <f>IF(AND($E19,$B19=3),1,0)</f>
        <v>0</v>
      </c>
      <c r="AV19" s="7">
        <f>IF(AND(NOT($E19),$B19=3),1,0)</f>
        <v>0</v>
      </c>
      <c r="AW19" s="7">
        <f>IF(AND($AJ19,NOT($E19),$B19=3),1,0)</f>
        <v>0</v>
      </c>
    </row>
    <row r="20" spans="1:49" ht="12.75">
      <c r="A20" s="7">
        <v>15289</v>
      </c>
      <c r="B20" s="7">
        <v>1</v>
      </c>
      <c r="C20" s="7">
        <v>1</v>
      </c>
      <c r="D20" s="7">
        <v>1</v>
      </c>
      <c r="E20" s="7">
        <f>IF(AND(C20,D20),1,0)</f>
        <v>1</v>
      </c>
      <c r="F20" s="7">
        <v>15289</v>
      </c>
      <c r="G20" s="4">
        <v>8</v>
      </c>
      <c r="H20" s="4">
        <v>6.5</v>
      </c>
      <c r="I20" s="4">
        <v>3</v>
      </c>
      <c r="J20" s="4">
        <v>4.5</v>
      </c>
      <c r="K20" s="4">
        <v>1.9</v>
      </c>
      <c r="L20" s="4">
        <v>2.8</v>
      </c>
      <c r="M20" s="4">
        <v>3.2</v>
      </c>
      <c r="N20" s="4">
        <v>6</v>
      </c>
      <c r="O20" s="4">
        <v>6</v>
      </c>
      <c r="P20" s="4">
        <v>7</v>
      </c>
      <c r="Q20" s="4">
        <v>6</v>
      </c>
      <c r="R20" s="7">
        <v>1</v>
      </c>
      <c r="S20" s="2">
        <f>IF(E20,R20,0)</f>
        <v>1</v>
      </c>
      <c r="T20" s="2">
        <f>IF(NOT(E20),R20,0)</f>
        <v>0</v>
      </c>
      <c r="U20" s="3">
        <f>SUM(G20:Q20)/11</f>
        <v>4.990909090909091</v>
      </c>
      <c r="V20" s="3">
        <f>SUM(G20:Q20)/R20</f>
        <v>54.9</v>
      </c>
      <c r="W20" s="4">
        <v>5</v>
      </c>
      <c r="X20" s="7">
        <v>15283</v>
      </c>
      <c r="Z20" s="4">
        <f>W20/2+Y20</f>
        <v>2.5</v>
      </c>
      <c r="AA20" s="7">
        <v>0.7</v>
      </c>
      <c r="AB20" s="7">
        <v>0.7</v>
      </c>
      <c r="AC20" s="6">
        <f>IF(AND($E20,ISNUMBER($AB20)),$AB20,"")</f>
        <v>0.7</v>
      </c>
      <c r="AD20" s="6" t="str">
        <f>IF(AND(NOT($E20),ISNUMBER($AB20)),$AB20,"")</f>
        <v/>
      </c>
      <c r="AE20" s="4">
        <f>AB20+AA20</f>
        <v>1.4</v>
      </c>
      <c r="AF20" s="7">
        <f>IF(OR($Z20&gt;=4,$AB20&gt;=4,$AA20&gt;=5),1,0)</f>
        <v>0</v>
      </c>
      <c r="AG20" s="7">
        <f>IF(OR($Z20&gt;=4,$AB20&gt;=4,$R20&gt;=10),1,0)</f>
        <v>0</v>
      </c>
      <c r="AH20" s="7">
        <f>IF(OR($Z20&gt;=4,$AB20&gt;=5,$R20&gt;=10),1,0)</f>
        <v>0</v>
      </c>
      <c r="AI20" s="7">
        <f>IF(OR($Z20&gt;=$AI$43,$AB20&gt;=$AI$43,$R20&gt;=10),1,0)</f>
        <v>0</v>
      </c>
      <c r="AJ20" s="7">
        <f>INDIRECT(CONCATENATE($AJ$2,CELL("row",AJ20)))</f>
        <v>0</v>
      </c>
      <c r="AK20" s="7">
        <f>IF(AND(AJ20,E20),1,0)</f>
        <v>0</v>
      </c>
      <c r="AL20" s="7">
        <f>IF(AND(AJ20,NOT(E20)),1,0)</f>
        <v>0</v>
      </c>
      <c r="AM20" s="7">
        <f>IF(AND($AJ20,$E20,$B20=1),1,0)</f>
        <v>0</v>
      </c>
      <c r="AN20" s="7">
        <f>IF(AND($AJ20,NOT($E20),$B20=1),1,0)</f>
        <v>0</v>
      </c>
      <c r="AO20" s="7">
        <f>IF(AND($E20,$B20=1),1,0)</f>
        <v>1</v>
      </c>
      <c r="AP20" s="7">
        <f>IF(AND(NOT($E20),$B20=1),1,0)</f>
        <v>0</v>
      </c>
      <c r="AQ20" s="7">
        <f>IF(AND($E20,$B20=2),1,0)</f>
        <v>0</v>
      </c>
      <c r="AR20" s="7">
        <f>IF(AND($AJ20,$E20,$B20=2),1,0)</f>
        <v>0</v>
      </c>
      <c r="AS20" s="7">
        <f>IF(AND(NOT($E20),$B20=2),1,0)</f>
        <v>0</v>
      </c>
      <c r="AT20" s="7">
        <f>IF(AND($AJ20,NOT($E20),$B20=2),1,0)</f>
        <v>0</v>
      </c>
      <c r="AU20" s="7">
        <f>IF(AND($E20,$B20=3),1,0)</f>
        <v>0</v>
      </c>
      <c r="AV20" s="7">
        <f>IF(AND(NOT($E20),$B20=3),1,0)</f>
        <v>0</v>
      </c>
      <c r="AW20" s="7">
        <f>IF(AND($AJ20,NOT($E20),$B20=3),1,0)</f>
        <v>0</v>
      </c>
    </row>
    <row r="21" spans="1:49" ht="12.75">
      <c r="A21" s="7">
        <v>15294</v>
      </c>
      <c r="B21" s="7">
        <v>1</v>
      </c>
      <c r="C21" s="7">
        <v>1</v>
      </c>
      <c r="D21" s="7">
        <v>1</v>
      </c>
      <c r="E21" s="7">
        <f>IF(AND(C21,D21),1,0)</f>
        <v>1</v>
      </c>
      <c r="F21" s="7">
        <v>15294</v>
      </c>
      <c r="G21" s="4">
        <v>6</v>
      </c>
      <c r="H21" s="4">
        <v>6</v>
      </c>
      <c r="I21" s="4">
        <v>5.5</v>
      </c>
      <c r="J21" s="4">
        <v>5</v>
      </c>
      <c r="K21" s="4">
        <v>1.6</v>
      </c>
      <c r="L21" s="4">
        <v>6.2</v>
      </c>
      <c r="M21" s="4">
        <v>3</v>
      </c>
      <c r="N21" s="4">
        <v>6</v>
      </c>
      <c r="O21" s="4">
        <v>5</v>
      </c>
      <c r="P21" s="4">
        <v>5</v>
      </c>
      <c r="Q21" s="4">
        <v>3</v>
      </c>
      <c r="R21" s="7">
        <v>12</v>
      </c>
      <c r="S21" s="2">
        <f>IF(E21,R21,0)</f>
        <v>12</v>
      </c>
      <c r="T21" s="2">
        <f>IF(NOT(E21),R21,0)</f>
        <v>0</v>
      </c>
      <c r="U21" s="3">
        <f>SUM(G21:Q21)/11</f>
        <v>4.754545454545454</v>
      </c>
      <c r="V21" s="3">
        <f>SUM(G21:Q21)/R21</f>
        <v>4.358333333333333</v>
      </c>
      <c r="W21" s="4">
        <v>8</v>
      </c>
      <c r="X21" s="7">
        <v>15289</v>
      </c>
      <c r="Y21" s="7">
        <v>4.5</v>
      </c>
      <c r="Z21" s="4">
        <f>W21/2+Y21</f>
        <v>8.5</v>
      </c>
      <c r="AA21" s="7">
        <v>7</v>
      </c>
      <c r="AB21" s="7">
        <v>5.81</v>
      </c>
      <c r="AC21" s="6">
        <f>IF(AND($E21,ISNUMBER($AB21)),$AB21,"")</f>
        <v>5.81</v>
      </c>
      <c r="AD21" s="6" t="str">
        <f>IF(AND(NOT($E21),ISNUMBER($AB21)),$AB21,"")</f>
        <v/>
      </c>
      <c r="AE21" s="4">
        <f>AB21+AA21</f>
        <v>12.809999999999999</v>
      </c>
      <c r="AF21" s="7">
        <f>IF(OR($Z21&gt;=4,$AB21&gt;=4,$AA21&gt;=5),1,0)</f>
        <v>1</v>
      </c>
      <c r="AG21" s="7">
        <f>IF(OR($Z21&gt;=4,$AB21&gt;=4,$R21&gt;=10),1,0)</f>
        <v>1</v>
      </c>
      <c r="AH21" s="7">
        <f>IF(OR($Z21&gt;=4,$AB21&gt;=5,$R21&gt;=10),1,0)</f>
        <v>1</v>
      </c>
      <c r="AI21" s="7">
        <f>IF(OR($Z21&gt;=$AI$43,$AB21&gt;=$AI$43,$R21&gt;=10),1,0)</f>
        <v>1</v>
      </c>
      <c r="AJ21" s="7">
        <f>INDIRECT(CONCATENATE($AJ$2,CELL("row",AJ21)))</f>
        <v>1</v>
      </c>
      <c r="AK21" s="7">
        <f>IF(AND(AJ21,E21),1,0)</f>
        <v>1</v>
      </c>
      <c r="AL21" s="7">
        <f>IF(AND(AJ21,NOT(E21)),1,0)</f>
        <v>0</v>
      </c>
      <c r="AM21" s="7">
        <f>IF(AND($AJ21,$E21,$B21=1),1,0)</f>
        <v>1</v>
      </c>
      <c r="AN21" s="7">
        <f>IF(AND($AJ21,NOT($E21),$B21=1),1,0)</f>
        <v>0</v>
      </c>
      <c r="AO21" s="7">
        <f>IF(AND($E21,$B21=1),1,0)</f>
        <v>1</v>
      </c>
      <c r="AP21" s="7">
        <f>IF(AND(NOT($E21),$B21=1),1,0)</f>
        <v>0</v>
      </c>
      <c r="AQ21" s="7">
        <f>IF(AND($E21,$B21=2),1,0)</f>
        <v>0</v>
      </c>
      <c r="AR21" s="7">
        <f>IF(AND($AJ21,$E21,$B21=2),1,0)</f>
        <v>0</v>
      </c>
      <c r="AS21" s="7">
        <f>IF(AND(NOT($E21),$B21=2),1,0)</f>
        <v>0</v>
      </c>
      <c r="AT21" s="7">
        <f>IF(AND($AJ21,NOT($E21),$B21=2),1,0)</f>
        <v>0</v>
      </c>
      <c r="AU21" s="7">
        <f>IF(AND($E21,$B21=3),1,0)</f>
        <v>0</v>
      </c>
      <c r="AV21" s="7">
        <f>IF(AND(NOT($E21),$B21=3),1,0)</f>
        <v>0</v>
      </c>
      <c r="AW21" s="7">
        <f>IF(AND($AJ21,NOT($E21),$B21=3),1,0)</f>
        <v>0</v>
      </c>
    </row>
    <row r="22" spans="1:49" ht="12.75">
      <c r="A22" s="7">
        <v>15295</v>
      </c>
      <c r="B22" s="7">
        <v>1</v>
      </c>
      <c r="C22" s="7">
        <v>1</v>
      </c>
      <c r="D22" s="7">
        <v>0</v>
      </c>
      <c r="E22" s="7">
        <f>IF(AND(C22,D22),1,0)</f>
        <v>0</v>
      </c>
      <c r="F22" s="7">
        <v>15295</v>
      </c>
      <c r="H22" s="4"/>
      <c r="I22" s="4"/>
      <c r="J22" s="4"/>
      <c r="K22" s="4"/>
      <c r="L22" s="4"/>
      <c r="M22" s="4"/>
      <c r="N22" s="4"/>
      <c r="O22" s="4"/>
      <c r="P22" s="4"/>
      <c r="Q22" s="4"/>
      <c r="R22" s="7">
        <v>12</v>
      </c>
      <c r="S22" s="2">
        <f>IF(E22,R22,0)</f>
        <v>0</v>
      </c>
      <c r="T22" s="2">
        <f>IF(NOT(E22),R22,0)</f>
        <v>12</v>
      </c>
      <c r="U22" s="3">
        <f>SUM(G22:Q22)/11</f>
        <v>0</v>
      </c>
      <c r="V22" s="3">
        <v>0</v>
      </c>
      <c r="W22" s="4">
        <v>3.5</v>
      </c>
      <c r="X22" s="7">
        <v>15294</v>
      </c>
      <c r="Y22" s="7">
        <v>3.55</v>
      </c>
      <c r="Z22" s="4">
        <f>W22/2+Y22</f>
        <v>5.3</v>
      </c>
      <c r="AA22" s="7">
        <v>7.5</v>
      </c>
      <c r="AB22" s="7">
        <v>5.8</v>
      </c>
      <c r="AC22" s="6" t="str">
        <f>IF(AND($E22,ISNUMBER($AB22)),$AB22,"")</f>
        <v/>
      </c>
      <c r="AD22" s="6">
        <f>IF(AND(NOT($E22),ISNUMBER($AB22)),$AB22,"")</f>
        <v>5.8</v>
      </c>
      <c r="AE22" s="4">
        <f>AB22+AA22</f>
        <v>13.3</v>
      </c>
      <c r="AF22" s="7">
        <f>IF(OR($Z22&gt;=4,$AB22&gt;=4,$AA22&gt;=5),1,0)</f>
        <v>1</v>
      </c>
      <c r="AG22" s="7">
        <f>IF(OR($Z22&gt;=4,$AB22&gt;=4,$R22&gt;=10),1,0)</f>
        <v>1</v>
      </c>
      <c r="AH22" s="7">
        <f>IF(OR($Z22&gt;=4,$AB22&gt;=5,$R22&gt;=10),1,0)</f>
        <v>1</v>
      </c>
      <c r="AI22" s="7">
        <f>IF(OR($Z22&gt;=$AI$43,$AB22&gt;=$AI$43,$R22&gt;=10),1,0)</f>
        <v>1</v>
      </c>
      <c r="AJ22" s="7">
        <f>INDIRECT(CONCATENATE($AJ$2,CELL("row",AJ22)))</f>
        <v>1</v>
      </c>
      <c r="AK22" s="7">
        <f>IF(AND(AJ22,E22),1,0)</f>
        <v>0</v>
      </c>
      <c r="AL22" s="7">
        <f>IF(AND(AJ22,NOT(E22)),1,0)</f>
        <v>1</v>
      </c>
      <c r="AM22" s="7">
        <f>IF(AND($AJ22,$E22,$B22=1),1,0)</f>
        <v>0</v>
      </c>
      <c r="AN22" s="7">
        <f>IF(AND($AJ22,NOT($E22),$B22=1),1,0)</f>
        <v>1</v>
      </c>
      <c r="AO22" s="7">
        <f>IF(AND($E22,$B22=1),1,0)</f>
        <v>0</v>
      </c>
      <c r="AP22" s="7">
        <f>IF(AND(NOT($E22),$B22=1),1,0)</f>
        <v>1</v>
      </c>
      <c r="AQ22" s="7">
        <f>IF(AND($E22,$B22=2),1,0)</f>
        <v>0</v>
      </c>
      <c r="AR22" s="7">
        <f>IF(AND($AJ22,$E22,$B22=2),1,0)</f>
        <v>0</v>
      </c>
      <c r="AS22" s="7">
        <f>IF(AND(NOT($E22),$B22=2),1,0)</f>
        <v>0</v>
      </c>
      <c r="AT22" s="7">
        <f>IF(AND($AJ22,NOT($E22),$B22=2),1,0)</f>
        <v>0</v>
      </c>
      <c r="AU22" s="7">
        <f>IF(AND($E22,$B22=3),1,0)</f>
        <v>0</v>
      </c>
      <c r="AV22" s="7">
        <f>IF(AND(NOT($E22),$B22=3),1,0)</f>
        <v>0</v>
      </c>
      <c r="AW22" s="7">
        <f>IF(AND($AJ22,NOT($E22),$B22=3),1,0)</f>
        <v>0</v>
      </c>
    </row>
    <row r="23" spans="1:49" ht="12.75">
      <c r="A23" s="7">
        <v>15319</v>
      </c>
      <c r="B23" s="7">
        <v>1</v>
      </c>
      <c r="C23" s="7">
        <v>1</v>
      </c>
      <c r="D23" s="7">
        <v>1</v>
      </c>
      <c r="E23" s="7">
        <f>IF(AND(C23,D23),1,0)</f>
        <v>1</v>
      </c>
      <c r="F23" s="7">
        <v>15319</v>
      </c>
      <c r="G23" s="4">
        <v>6.5</v>
      </c>
      <c r="H23" s="4">
        <v>3.5</v>
      </c>
      <c r="I23" s="4">
        <v>2</v>
      </c>
      <c r="J23" s="4">
        <v>4.5</v>
      </c>
      <c r="K23" s="4">
        <v>1</v>
      </c>
      <c r="M23" s="4"/>
      <c r="N23" s="4"/>
      <c r="O23" s="4"/>
      <c r="P23" s="4"/>
      <c r="Q23" s="4"/>
      <c r="R23" s="7">
        <v>5</v>
      </c>
      <c r="S23" s="2">
        <f>IF(E23,R23,0)</f>
        <v>5</v>
      </c>
      <c r="T23" s="2">
        <f>IF(NOT(E23),R23,0)</f>
        <v>0</v>
      </c>
      <c r="U23" s="3">
        <f>SUM(G23:Q23)/11</f>
        <v>1.5909090909090908</v>
      </c>
      <c r="V23" s="3">
        <f>SUM(G23:Q23)/R23</f>
        <v>3.5</v>
      </c>
      <c r="W23" s="4">
        <v>0</v>
      </c>
      <c r="X23" s="7">
        <v>15319</v>
      </c>
      <c r="Z23" s="4">
        <f>W23/2+Y23</f>
        <v>0</v>
      </c>
      <c r="AA23" s="7">
        <v>1.9</v>
      </c>
      <c r="AB23" s="7">
        <v>1.9</v>
      </c>
      <c r="AC23" s="6">
        <f>IF(AND($E23,ISNUMBER($AB23)),$AB23,"")</f>
        <v>1.9</v>
      </c>
      <c r="AD23" s="6" t="str">
        <f>IF(AND(NOT($E23),ISNUMBER($AB23)),$AB23,"")</f>
        <v/>
      </c>
      <c r="AE23" s="4">
        <f>AB23+AA23</f>
        <v>3.8</v>
      </c>
      <c r="AF23" s="7">
        <f>IF(OR($Z23&gt;=4,$AB23&gt;=4,$AA23&gt;=5),1,0)</f>
        <v>0</v>
      </c>
      <c r="AG23" s="7">
        <f>IF(OR($Z23&gt;=4,$AB23&gt;=4,$R23&gt;=10),1,0)</f>
        <v>0</v>
      </c>
      <c r="AH23" s="7">
        <f>IF(OR($Z23&gt;=4,$AB23&gt;=5,$R23&gt;=10),1,0)</f>
        <v>0</v>
      </c>
      <c r="AI23" s="7">
        <f>IF(OR($Z23&gt;=$AI$43,$AB23&gt;=$AI$43,$R23&gt;=10),1,0)</f>
        <v>0</v>
      </c>
      <c r="AJ23" s="7">
        <f>INDIRECT(CONCATENATE($AJ$2,CELL("row",AJ23)))</f>
        <v>0</v>
      </c>
      <c r="AK23" s="7">
        <f>IF(AND(AJ23,E23),1,0)</f>
        <v>0</v>
      </c>
      <c r="AL23" s="7">
        <f>IF(AND(AJ23,NOT(E23)),1,0)</f>
        <v>0</v>
      </c>
      <c r="AM23" s="7">
        <f>IF(AND($AJ23,$E23,$B23=1),1,0)</f>
        <v>0</v>
      </c>
      <c r="AN23" s="7">
        <f>IF(AND($AJ23,NOT($E23),$B23=1),1,0)</f>
        <v>0</v>
      </c>
      <c r="AO23" s="7">
        <f>IF(AND($E23,$B23=1),1,0)</f>
        <v>1</v>
      </c>
      <c r="AP23" s="7">
        <f>IF(AND(NOT($E23),$B23=1),1,0)</f>
        <v>0</v>
      </c>
      <c r="AQ23" s="7">
        <f>IF(AND($E23,$B23=2),1,0)</f>
        <v>0</v>
      </c>
      <c r="AR23" s="7">
        <f>IF(AND($AJ23,$E23,$B23=2),1,0)</f>
        <v>0</v>
      </c>
      <c r="AS23" s="7">
        <f>IF(AND(NOT($E23),$B23=2),1,0)</f>
        <v>0</v>
      </c>
      <c r="AT23" s="7">
        <f>IF(AND($AJ23,NOT($E23),$B23=2),1,0)</f>
        <v>0</v>
      </c>
      <c r="AU23" s="7">
        <f>IF(AND($E23,$B23=3),1,0)</f>
        <v>0</v>
      </c>
      <c r="AV23" s="7">
        <f>IF(AND(NOT($E23),$B23=3),1,0)</f>
        <v>0</v>
      </c>
      <c r="AW23" s="7">
        <f>IF(AND($AJ23,NOT($E23),$B23=3),1,0)</f>
        <v>0</v>
      </c>
    </row>
    <row r="24" spans="1:49" ht="12.75">
      <c r="A24" s="7">
        <v>15335</v>
      </c>
      <c r="B24" s="7">
        <v>1</v>
      </c>
      <c r="C24" s="7">
        <v>1</v>
      </c>
      <c r="D24" s="7">
        <v>1</v>
      </c>
      <c r="E24" s="7">
        <f>IF(AND(C24,D24),1,0)</f>
        <v>1</v>
      </c>
      <c r="F24" s="7">
        <v>15335</v>
      </c>
      <c r="G24" s="4">
        <v>6</v>
      </c>
      <c r="H24" s="4">
        <v>4</v>
      </c>
      <c r="I24" s="4">
        <v>3</v>
      </c>
      <c r="J24" s="4">
        <v>2</v>
      </c>
      <c r="K24" s="4">
        <v>1.3</v>
      </c>
      <c r="L24" s="4">
        <v>5.1</v>
      </c>
      <c r="M24" s="4">
        <v>1.2</v>
      </c>
      <c r="N24" s="4">
        <v>3</v>
      </c>
      <c r="P24" s="4"/>
      <c r="Q24" s="4"/>
      <c r="R24" s="7">
        <v>8</v>
      </c>
      <c r="S24" s="2">
        <f>IF(E24,R24,0)</f>
        <v>8</v>
      </c>
      <c r="T24" s="2">
        <f>IF(NOT(E24),R24,0)</f>
        <v>0</v>
      </c>
      <c r="U24" s="3">
        <f>SUM(G24:Q24)/11</f>
        <v>2.3272727272727276</v>
      </c>
      <c r="V24" s="3">
        <f>SUM(G24:Q24)/R24</f>
        <v>3.2</v>
      </c>
      <c r="W24" s="4">
        <v>3</v>
      </c>
      <c r="X24" s="7">
        <v>15335</v>
      </c>
      <c r="Z24" s="4">
        <f>W24/2+Y24</f>
        <v>1.5</v>
      </c>
      <c r="AA24" s="7">
        <v>2.8</v>
      </c>
      <c r="AB24" s="7">
        <v>2.77</v>
      </c>
      <c r="AC24" s="6">
        <f>IF(AND($E24,ISNUMBER($AB24)),$AB24,"")</f>
        <v>2.77</v>
      </c>
      <c r="AD24" s="6" t="str">
        <f>IF(AND(NOT($E24),ISNUMBER($AB24)),$AB24,"")</f>
        <v/>
      </c>
      <c r="AE24" s="4">
        <f>AB24+AA24</f>
        <v>5.57</v>
      </c>
      <c r="AF24" s="7">
        <f>IF(OR($Z24&gt;=4,$AB24&gt;=4,$AA24&gt;=5),1,0)</f>
        <v>0</v>
      </c>
      <c r="AG24" s="7">
        <f>IF(OR($Z24&gt;=4,$AB24&gt;=4,$R24&gt;=10),1,0)</f>
        <v>0</v>
      </c>
      <c r="AH24" s="7">
        <f>IF(OR($Z24&gt;=4,$AB24&gt;=5,$R24&gt;=10),1,0)</f>
        <v>0</v>
      </c>
      <c r="AI24" s="7">
        <f>IF(OR($Z24&gt;=$AI$43,$AB24&gt;=$AI$43,$R24&gt;=10),1,0)</f>
        <v>0</v>
      </c>
      <c r="AJ24" s="7">
        <f>INDIRECT(CONCATENATE($AJ$2,CELL("row",AJ24)))</f>
        <v>0</v>
      </c>
      <c r="AK24" s="7">
        <f>IF(AND(AJ24,E24),1,0)</f>
        <v>0</v>
      </c>
      <c r="AL24" s="7">
        <f>IF(AND(AJ24,NOT(E24)),1,0)</f>
        <v>0</v>
      </c>
      <c r="AM24" s="7">
        <f>IF(AND($AJ24,$E24,$B24=1),1,0)</f>
        <v>0</v>
      </c>
      <c r="AN24" s="7">
        <f>IF(AND($AJ24,NOT($E24),$B24=1),1,0)</f>
        <v>0</v>
      </c>
      <c r="AO24" s="7">
        <f>IF(AND($E24,$B24=1),1,0)</f>
        <v>1</v>
      </c>
      <c r="AP24" s="7">
        <f>IF(AND(NOT($E24),$B24=1),1,0)</f>
        <v>0</v>
      </c>
      <c r="AQ24" s="7">
        <f>IF(AND($E24,$B24=2),1,0)</f>
        <v>0</v>
      </c>
      <c r="AR24" s="7">
        <f>IF(AND($AJ24,$E24,$B24=2),1,0)</f>
        <v>0</v>
      </c>
      <c r="AS24" s="7">
        <f>IF(AND(NOT($E24),$B24=2),1,0)</f>
        <v>0</v>
      </c>
      <c r="AT24" s="7">
        <f>IF(AND($AJ24,NOT($E24),$B24=2),1,0)</f>
        <v>0</v>
      </c>
      <c r="AU24" s="7">
        <f>IF(AND($E24,$B24=3),1,0)</f>
        <v>0</v>
      </c>
      <c r="AV24" s="7">
        <f>IF(AND(NOT($E24),$B24=3),1,0)</f>
        <v>0</v>
      </c>
      <c r="AW24" s="7">
        <f>IF(AND($AJ24,NOT($E24),$B24=3),1,0)</f>
        <v>0</v>
      </c>
    </row>
    <row r="25" spans="1:49" ht="12.75">
      <c r="A25" s="7">
        <v>15339</v>
      </c>
      <c r="B25" s="7">
        <v>1</v>
      </c>
      <c r="C25" s="7">
        <v>1</v>
      </c>
      <c r="D25" s="7">
        <v>1</v>
      </c>
      <c r="E25" s="7">
        <f>IF(AND(C25,D25),1,0)</f>
        <v>1</v>
      </c>
      <c r="F25" s="7">
        <v>15339</v>
      </c>
      <c r="G25" s="4">
        <v>7</v>
      </c>
      <c r="H25" s="4">
        <v>6</v>
      </c>
      <c r="I25" s="4">
        <v>3</v>
      </c>
      <c r="J25" s="4">
        <v>3.5</v>
      </c>
      <c r="K25" s="4">
        <v>0.5</v>
      </c>
      <c r="M25" s="4"/>
      <c r="N25" s="4"/>
      <c r="O25" s="4"/>
      <c r="P25" s="4"/>
      <c r="Q25" s="4"/>
      <c r="R25" s="7">
        <v>5</v>
      </c>
      <c r="S25" s="2">
        <f>IF(E25,R25,0)</f>
        <v>5</v>
      </c>
      <c r="T25" s="2">
        <f>IF(NOT(E25),R25,0)</f>
        <v>0</v>
      </c>
      <c r="U25" s="3">
        <f>SUM(G25:Q25)/11</f>
        <v>1.8181818181818181</v>
      </c>
      <c r="V25" s="3">
        <f>SUM(G25:Q25)/R25</f>
        <v>4</v>
      </c>
      <c r="W25" s="4">
        <v>6</v>
      </c>
      <c r="X25" s="7">
        <v>15339</v>
      </c>
      <c r="Y25" s="7">
        <v>1.65</v>
      </c>
      <c r="Z25" s="4">
        <f>W25/2+Y25</f>
        <v>4.65</v>
      </c>
      <c r="AA25" s="7">
        <v>4.7</v>
      </c>
      <c r="AB25" s="7">
        <v>2.19</v>
      </c>
      <c r="AC25" s="6">
        <f>IF(AND($E25,ISNUMBER($AB25)),$AB25,"")</f>
        <v>2.19</v>
      </c>
      <c r="AD25" s="6" t="str">
        <f>IF(AND(NOT($E25),ISNUMBER($AB25)),$AB25,"")</f>
        <v/>
      </c>
      <c r="AE25" s="4">
        <f>AB25+AA25</f>
        <v>6.890000000000001</v>
      </c>
      <c r="AF25" s="7">
        <f>IF(OR($Z25&gt;=4,$AB25&gt;=4,$AA25&gt;=5),1,0)</f>
        <v>1</v>
      </c>
      <c r="AG25" s="7">
        <f>IF(OR($Z25&gt;=4,$AB25&gt;=4,$R25&gt;=10),1,0)</f>
        <v>1</v>
      </c>
      <c r="AH25" s="7">
        <f>IF(OR($Z25&gt;=4,$AB25&gt;=5,$R25&gt;=10),1,0)</f>
        <v>1</v>
      </c>
      <c r="AI25" s="7">
        <f>IF(OR($Z25&gt;=$AI$43,$AB25&gt;=$AI$43,$R25&gt;=10),1,0)</f>
        <v>1</v>
      </c>
      <c r="AJ25" s="7">
        <f>INDIRECT(CONCATENATE($AJ$2,CELL("row",AJ25)))</f>
        <v>1</v>
      </c>
      <c r="AK25" s="7">
        <f>IF(AND(AJ25,E25),1,0)</f>
        <v>1</v>
      </c>
      <c r="AL25" s="7">
        <f>IF(AND(AJ25,NOT(E25)),1,0)</f>
        <v>0</v>
      </c>
      <c r="AM25" s="7">
        <f>IF(AND($AJ25,$E25,$B25=1),1,0)</f>
        <v>1</v>
      </c>
      <c r="AN25" s="7">
        <f>IF(AND($AJ25,NOT($E25),$B25=1),1,0)</f>
        <v>0</v>
      </c>
      <c r="AO25" s="7">
        <f>IF(AND($E25,$B25=1),1,0)</f>
        <v>1</v>
      </c>
      <c r="AP25" s="7">
        <f>IF(AND(NOT($E25),$B25=1),1,0)</f>
        <v>0</v>
      </c>
      <c r="AQ25" s="7">
        <f>IF(AND($E25,$B25=2),1,0)</f>
        <v>0</v>
      </c>
      <c r="AR25" s="7">
        <f>IF(AND($AJ25,$E25,$B25=2),1,0)</f>
        <v>0</v>
      </c>
      <c r="AS25" s="7">
        <f>IF(AND(NOT($E25),$B25=2),1,0)</f>
        <v>0</v>
      </c>
      <c r="AT25" s="7">
        <f>IF(AND($AJ25,NOT($E25),$B25=2),1,0)</f>
        <v>0</v>
      </c>
      <c r="AU25" s="7">
        <f>IF(AND($E25,$B25=3),1,0)</f>
        <v>0</v>
      </c>
      <c r="AV25" s="7">
        <f>IF(AND(NOT($E25),$B25=3),1,0)</f>
        <v>0</v>
      </c>
      <c r="AW25" s="7">
        <f>IF(AND($AJ25,NOT($E25),$B25=3),1,0)</f>
        <v>0</v>
      </c>
    </row>
    <row r="26" spans="1:49" ht="12.75">
      <c r="A26" s="7">
        <v>15342</v>
      </c>
      <c r="B26" s="7">
        <v>1</v>
      </c>
      <c r="C26" s="7">
        <v>1</v>
      </c>
      <c r="D26" s="7">
        <v>0</v>
      </c>
      <c r="E26" s="7">
        <f>IF(AND(C26,D26),1,0)</f>
        <v>0</v>
      </c>
      <c r="F26" s="7">
        <v>15342</v>
      </c>
      <c r="G26" s="4">
        <v>4.5</v>
      </c>
      <c r="H26" s="4">
        <v>4.5</v>
      </c>
      <c r="I26" s="4">
        <v>2</v>
      </c>
      <c r="J26" s="4">
        <v>2</v>
      </c>
      <c r="K26" s="4">
        <v>0.4</v>
      </c>
      <c r="L26" s="4">
        <v>1.1</v>
      </c>
      <c r="M26" s="4">
        <v>1.2</v>
      </c>
      <c r="O26" s="4"/>
      <c r="P26" s="4"/>
      <c r="Q26" s="4"/>
      <c r="R26" s="7">
        <v>7</v>
      </c>
      <c r="S26" s="2">
        <f>IF(E26,R26,0)</f>
        <v>0</v>
      </c>
      <c r="T26" s="2">
        <f>IF(NOT(E26),R26,0)</f>
        <v>7</v>
      </c>
      <c r="U26" s="3">
        <f>SUM(G26:Q26)/11</f>
        <v>1.4272727272727272</v>
      </c>
      <c r="V26" s="3">
        <f>SUM(G26:Q26)/R26</f>
        <v>2.242857142857143</v>
      </c>
      <c r="W26" s="4">
        <v>1</v>
      </c>
      <c r="X26" s="7">
        <v>15342</v>
      </c>
      <c r="Y26" s="7">
        <v>1.25</v>
      </c>
      <c r="Z26" s="4">
        <f>W26/2+Y26</f>
        <v>1.75</v>
      </c>
      <c r="AA26" s="7">
        <v>1.8</v>
      </c>
      <c r="AB26" s="7">
        <v>1.73</v>
      </c>
      <c r="AC26" s="6" t="str">
        <f>IF(AND($E26,ISNUMBER($AB26)),$AB26,"")</f>
        <v/>
      </c>
      <c r="AD26" s="6">
        <f>IF(AND(NOT($E26),ISNUMBER($AB26)),$AB26,"")</f>
        <v>1.73</v>
      </c>
      <c r="AE26" s="4">
        <f>AB26+AA26</f>
        <v>3.5300000000000002</v>
      </c>
      <c r="AF26" s="7">
        <f>IF(OR($Z26&gt;=4,$AB26&gt;=4,$AA26&gt;=5),1,0)</f>
        <v>0</v>
      </c>
      <c r="AG26" s="7">
        <f>IF(OR($Z26&gt;=4,$AB26&gt;=4,$R26&gt;=10),1,0)</f>
        <v>0</v>
      </c>
      <c r="AH26" s="7">
        <f>IF(OR($Z26&gt;=4,$AB26&gt;=5,$R26&gt;=10),1,0)</f>
        <v>0</v>
      </c>
      <c r="AI26" s="7">
        <f>IF(OR($Z26&gt;=$AI$43,$AB26&gt;=$AI$43,$R26&gt;=10),1,0)</f>
        <v>0</v>
      </c>
      <c r="AJ26" s="7">
        <f>INDIRECT(CONCATENATE($AJ$2,CELL("row",AJ26)))</f>
        <v>0</v>
      </c>
      <c r="AK26" s="7">
        <f>IF(AND(AJ26,E26),1,0)</f>
        <v>0</v>
      </c>
      <c r="AL26" s="7">
        <f>IF(AND(AJ26,NOT(E26)),1,0)</f>
        <v>0</v>
      </c>
      <c r="AM26" s="7">
        <f>IF(AND($AJ26,$E26,$B26=1),1,0)</f>
        <v>0</v>
      </c>
      <c r="AN26" s="7">
        <f>IF(AND($AJ26,NOT($E26),$B26=1),1,0)</f>
        <v>0</v>
      </c>
      <c r="AO26" s="7">
        <f>IF(AND($E26,$B26=1),1,0)</f>
        <v>0</v>
      </c>
      <c r="AP26" s="7">
        <f>IF(AND(NOT($E26),$B26=1),1,0)</f>
        <v>1</v>
      </c>
      <c r="AQ26" s="7">
        <f>IF(AND($E26,$B26=2),1,0)</f>
        <v>0</v>
      </c>
      <c r="AR26" s="7">
        <f>IF(AND($AJ26,$E26,$B26=2),1,0)</f>
        <v>0</v>
      </c>
      <c r="AS26" s="7">
        <f>IF(AND(NOT($E26),$B26=2),1,0)</f>
        <v>0</v>
      </c>
      <c r="AT26" s="7">
        <f>IF(AND($AJ26,NOT($E26),$B26=2),1,0)</f>
        <v>0</v>
      </c>
      <c r="AU26" s="7">
        <f>IF(AND($E26,$B26=3),1,0)</f>
        <v>0</v>
      </c>
      <c r="AV26" s="7">
        <f>IF(AND(NOT($E26),$B26=3),1,0)</f>
        <v>0</v>
      </c>
      <c r="AW26" s="7">
        <f>IF(AND($AJ26,NOT($E26),$B26=3),1,0)</f>
        <v>0</v>
      </c>
    </row>
    <row r="27" spans="1:49" ht="12.75">
      <c r="A27" s="7">
        <v>15394</v>
      </c>
      <c r="B27" s="7">
        <v>1</v>
      </c>
      <c r="C27" s="7">
        <v>1</v>
      </c>
      <c r="D27" s="7">
        <v>1</v>
      </c>
      <c r="E27" s="7">
        <f>IF(AND(C27,D27),1,0)</f>
        <v>1</v>
      </c>
      <c r="F27" s="7">
        <v>15394</v>
      </c>
      <c r="G27" s="4">
        <v>6</v>
      </c>
      <c r="H27" s="4">
        <v>6</v>
      </c>
      <c r="I27" s="4">
        <v>2</v>
      </c>
      <c r="J27" s="4">
        <v>5.5</v>
      </c>
      <c r="K27" s="4">
        <v>2.5</v>
      </c>
      <c r="L27" s="4">
        <v>6.2</v>
      </c>
      <c r="M27" s="4">
        <v>2.8</v>
      </c>
      <c r="N27" s="4">
        <v>8.5</v>
      </c>
      <c r="O27" s="4">
        <v>8</v>
      </c>
      <c r="P27" s="4">
        <v>8</v>
      </c>
      <c r="Q27" s="4">
        <v>9.5</v>
      </c>
      <c r="R27" s="7">
        <v>12</v>
      </c>
      <c r="S27" s="2">
        <f>IF(E27,R27,0)</f>
        <v>12</v>
      </c>
      <c r="T27" s="2">
        <f>IF(NOT(E27),R27,0)</f>
        <v>0</v>
      </c>
      <c r="U27" s="3">
        <f>SUM(G27:Q27)/11</f>
        <v>5.909090909090909</v>
      </c>
      <c r="V27" s="3">
        <f>SUM(G27:Q27)/R27</f>
        <v>5.416666666666667</v>
      </c>
      <c r="W27" s="4">
        <v>5</v>
      </c>
      <c r="X27" s="7">
        <v>15394</v>
      </c>
      <c r="Y27" s="7">
        <v>4.35</v>
      </c>
      <c r="Z27" s="4">
        <f>W27/2+Y27</f>
        <v>6.85</v>
      </c>
      <c r="AA27" s="7">
        <v>8.9</v>
      </c>
      <c r="AB27" s="7">
        <v>8.86</v>
      </c>
      <c r="AC27" s="6">
        <f>IF(AND($E27,ISNUMBER($AB27)),$AB27,"")</f>
        <v>8.86</v>
      </c>
      <c r="AD27" s="6" t="str">
        <f>IF(AND(NOT($E27),ISNUMBER($AB27)),$AB27,"")</f>
        <v/>
      </c>
      <c r="AE27" s="4">
        <f>AB27+AA27</f>
        <v>17.759999999999998</v>
      </c>
      <c r="AF27" s="7">
        <f>IF(OR($Z27&gt;=4,$AB27&gt;=4,$AA27&gt;=5),1,0)</f>
        <v>1</v>
      </c>
      <c r="AG27" s="7">
        <f>IF(OR($Z27&gt;=4,$AB27&gt;=4,$R27&gt;=10),1,0)</f>
        <v>1</v>
      </c>
      <c r="AH27" s="7">
        <f>IF(OR($Z27&gt;=4,$AB27&gt;=5,$R27&gt;=10),1,0)</f>
        <v>1</v>
      </c>
      <c r="AI27" s="7">
        <f>IF(OR($Z27&gt;=$AI$43,$AB27&gt;=$AI$43,$R27&gt;=10),1,0)</f>
        <v>1</v>
      </c>
      <c r="AJ27" s="7">
        <f>INDIRECT(CONCATENATE($AJ$2,CELL("row",AJ27)))</f>
        <v>1</v>
      </c>
      <c r="AK27" s="7">
        <f>IF(AND(AJ27,E27),1,0)</f>
        <v>1</v>
      </c>
      <c r="AL27" s="7">
        <f>IF(AND(AJ27,NOT(E27)),1,0)</f>
        <v>0</v>
      </c>
      <c r="AM27" s="7">
        <f>IF(AND($AJ27,$E27,$B27=1),1,0)</f>
        <v>1</v>
      </c>
      <c r="AN27" s="7">
        <f>IF(AND($AJ27,NOT($E27),$B27=1),1,0)</f>
        <v>0</v>
      </c>
      <c r="AO27" s="7">
        <f>IF(AND($E27,$B27=1),1,0)</f>
        <v>1</v>
      </c>
      <c r="AP27" s="7">
        <f>IF(AND(NOT($E27),$B27=1),1,0)</f>
        <v>0</v>
      </c>
      <c r="AQ27" s="7">
        <f>IF(AND($E27,$B27=2),1,0)</f>
        <v>0</v>
      </c>
      <c r="AR27" s="7">
        <f>IF(AND($AJ27,$E27,$B27=2),1,0)</f>
        <v>0</v>
      </c>
      <c r="AS27" s="7">
        <f>IF(AND(NOT($E27),$B27=2),1,0)</f>
        <v>0</v>
      </c>
      <c r="AT27" s="7">
        <f>IF(AND($AJ27,NOT($E27),$B27=2),1,0)</f>
        <v>0</v>
      </c>
      <c r="AU27" s="7">
        <f>IF(AND($E27,$B27=3),1,0)</f>
        <v>0</v>
      </c>
      <c r="AV27" s="7">
        <f>IF(AND(NOT($E27),$B27=3),1,0)</f>
        <v>0</v>
      </c>
      <c r="AW27" s="7">
        <f>IF(AND($AJ27,NOT($E27),$B27=3),1,0)</f>
        <v>0</v>
      </c>
    </row>
    <row r="28" spans="1:49" ht="12.75">
      <c r="A28" s="7">
        <v>15395</v>
      </c>
      <c r="B28" s="7">
        <v>1</v>
      </c>
      <c r="C28" s="7">
        <v>1</v>
      </c>
      <c r="D28" s="7">
        <v>0</v>
      </c>
      <c r="E28" s="7">
        <f>IF(AND(C28,D28),1,0)</f>
        <v>0</v>
      </c>
      <c r="F28" s="7">
        <v>15395</v>
      </c>
      <c r="G28" s="4">
        <v>7.5</v>
      </c>
      <c r="H28" s="4">
        <v>4</v>
      </c>
      <c r="I28" s="4">
        <v>2</v>
      </c>
      <c r="J28" s="4">
        <v>2</v>
      </c>
      <c r="K28" s="4">
        <v>1.8</v>
      </c>
      <c r="L28" s="4">
        <v>0.5</v>
      </c>
      <c r="N28" s="4"/>
      <c r="O28" s="4"/>
      <c r="P28" s="4"/>
      <c r="Q28" s="4"/>
      <c r="R28" s="7">
        <v>6</v>
      </c>
      <c r="S28" s="2">
        <f>IF(E28,R28,0)</f>
        <v>0</v>
      </c>
      <c r="T28" s="2">
        <f>IF(NOT(E28),R28,0)</f>
        <v>6</v>
      </c>
      <c r="U28" s="3">
        <f>SUM(G28:Q28)/11</f>
        <v>1.6181818181818182</v>
      </c>
      <c r="V28" s="3">
        <f>SUM(G28:Q28)/R28</f>
        <v>2.966666666666667</v>
      </c>
      <c r="W28" s="4">
        <v>3</v>
      </c>
      <c r="X28" s="7">
        <v>15395</v>
      </c>
      <c r="Z28" s="4">
        <f>W28/2+Y28</f>
        <v>1.5</v>
      </c>
      <c r="AA28" s="7">
        <v>1.9</v>
      </c>
      <c r="AB28" s="7">
        <v>1.93</v>
      </c>
      <c r="AC28" s="6" t="str">
        <f>IF(AND($E28,ISNUMBER($AB28)),$AB28,"")</f>
        <v/>
      </c>
      <c r="AD28" s="6">
        <f>IF(AND(NOT($E28),ISNUMBER($AB28)),$AB28,"")</f>
        <v>1.93</v>
      </c>
      <c r="AE28" s="4">
        <f>AB28+AA28</f>
        <v>3.83</v>
      </c>
      <c r="AF28" s="7">
        <f>IF(OR($Z28&gt;=4,$AB28&gt;=4,$AA28&gt;=5),1,0)</f>
        <v>0</v>
      </c>
      <c r="AG28" s="7">
        <f>IF(OR($Z28&gt;=4,$AB28&gt;=4,$R28&gt;=10),1,0)</f>
        <v>0</v>
      </c>
      <c r="AH28" s="7">
        <f>IF(OR($Z28&gt;=4,$AB28&gt;=5,$R28&gt;=10),1,0)</f>
        <v>0</v>
      </c>
      <c r="AI28" s="7">
        <f>IF(OR($Z28&gt;=$AI$43,$AB28&gt;=$AI$43,$R28&gt;=10),1,0)</f>
        <v>0</v>
      </c>
      <c r="AJ28" s="7">
        <f>INDIRECT(CONCATENATE($AJ$2,CELL("row",AJ28)))</f>
        <v>0</v>
      </c>
      <c r="AK28" s="7">
        <f>IF(AND(AJ28,E28),1,0)</f>
        <v>0</v>
      </c>
      <c r="AL28" s="7">
        <f>IF(AND(AJ28,NOT(E28)),1,0)</f>
        <v>0</v>
      </c>
      <c r="AM28" s="7">
        <f>IF(AND($AJ28,$E28,$B28=1),1,0)</f>
        <v>0</v>
      </c>
      <c r="AN28" s="7">
        <f>IF(AND($AJ28,NOT($E28),$B28=1),1,0)</f>
        <v>0</v>
      </c>
      <c r="AO28" s="7">
        <f>IF(AND($E28,$B28=1),1,0)</f>
        <v>0</v>
      </c>
      <c r="AP28" s="7">
        <f>IF(AND(NOT($E28),$B28=1),1,0)</f>
        <v>1</v>
      </c>
      <c r="AQ28" s="7">
        <f>IF(AND($E28,$B28=2),1,0)</f>
        <v>0</v>
      </c>
      <c r="AR28" s="7">
        <f>IF(AND($AJ28,$E28,$B28=2),1,0)</f>
        <v>0</v>
      </c>
      <c r="AS28" s="7">
        <f>IF(AND(NOT($E28),$B28=2),1,0)</f>
        <v>0</v>
      </c>
      <c r="AT28" s="7">
        <f>IF(AND($AJ28,NOT($E28),$B28=2),1,0)</f>
        <v>0</v>
      </c>
      <c r="AU28" s="7">
        <f>IF(AND($E28,$B28=3),1,0)</f>
        <v>0</v>
      </c>
      <c r="AV28" s="7">
        <f>IF(AND(NOT($E28),$B28=3),1,0)</f>
        <v>0</v>
      </c>
      <c r="AW28" s="7">
        <f>IF(AND($AJ28,NOT($E28),$B28=3),1,0)</f>
        <v>0</v>
      </c>
    </row>
    <row r="29" spans="1:49" ht="12.75">
      <c r="A29" s="7">
        <v>15396</v>
      </c>
      <c r="B29" s="7">
        <v>1</v>
      </c>
      <c r="C29" s="7">
        <v>1</v>
      </c>
      <c r="D29" s="7">
        <v>1</v>
      </c>
      <c r="E29" s="7">
        <f>IF(AND(C29,D29),1,0)</f>
        <v>1</v>
      </c>
      <c r="F29" s="7">
        <v>15396</v>
      </c>
      <c r="G29" s="4">
        <v>8</v>
      </c>
      <c r="H29" s="4">
        <v>6</v>
      </c>
      <c r="I29" s="4">
        <v>2</v>
      </c>
      <c r="J29" s="4">
        <v>7</v>
      </c>
      <c r="K29" s="4">
        <v>4.8</v>
      </c>
      <c r="L29" s="4">
        <v>3.9</v>
      </c>
      <c r="M29" s="4">
        <v>4</v>
      </c>
      <c r="N29" s="4">
        <v>6</v>
      </c>
      <c r="O29" s="4">
        <v>10</v>
      </c>
      <c r="P29" s="4">
        <v>6</v>
      </c>
      <c r="Q29" s="4">
        <v>7.2</v>
      </c>
      <c r="R29" s="7">
        <v>12</v>
      </c>
      <c r="S29" s="2">
        <f>IF(E29,R29,0)</f>
        <v>12</v>
      </c>
      <c r="T29" s="2">
        <f>IF(NOT(E29),R29,0)</f>
        <v>0</v>
      </c>
      <c r="U29" s="3">
        <f>SUM(G29:Q29)/11</f>
        <v>5.9</v>
      </c>
      <c r="V29" s="3">
        <f>SUM(G29:Q29)/R29</f>
        <v>5.408333333333334</v>
      </c>
      <c r="W29" s="4">
        <v>5.5</v>
      </c>
      <c r="X29" s="7">
        <v>15396</v>
      </c>
      <c r="Y29" s="7">
        <v>1.9</v>
      </c>
      <c r="Z29" s="4">
        <f>W29/2+Y29</f>
        <v>4.65</v>
      </c>
      <c r="AA29" s="7">
        <v>5</v>
      </c>
      <c r="AB29" s="7">
        <v>7.17</v>
      </c>
      <c r="AC29" s="6">
        <f>IF(AND($E29,ISNUMBER($AB29)),$AB29,"")</f>
        <v>7.17</v>
      </c>
      <c r="AD29" s="6" t="str">
        <f>IF(AND(NOT($E29),ISNUMBER($AB29)),$AB29,"")</f>
        <v/>
      </c>
      <c r="AE29" s="4">
        <f>AB29+AA29</f>
        <v>12.17</v>
      </c>
      <c r="AF29" s="7">
        <f>IF(OR($Z29&gt;=4,$AB29&gt;=4,$AA29&gt;=5),1,0)</f>
        <v>1</v>
      </c>
      <c r="AG29" s="7">
        <f>IF(OR($Z29&gt;=4,$AB29&gt;=4,$R29&gt;=10),1,0)</f>
        <v>1</v>
      </c>
      <c r="AH29" s="7">
        <f>IF(OR($Z29&gt;=4,$AB29&gt;=5,$R29&gt;=10),1,0)</f>
        <v>1</v>
      </c>
      <c r="AI29" s="7">
        <f>IF(OR($Z29&gt;=$AI$43,$AB29&gt;=$AI$43,$R29&gt;=10),1,0)</f>
        <v>1</v>
      </c>
      <c r="AJ29" s="7">
        <f>INDIRECT(CONCATENATE($AJ$2,CELL("row",AJ29)))</f>
        <v>1</v>
      </c>
      <c r="AK29" s="7">
        <f>IF(AND(AJ29,E29),1,0)</f>
        <v>1</v>
      </c>
      <c r="AL29" s="7">
        <f>IF(AND(AJ29,NOT(E29)),1,0)</f>
        <v>0</v>
      </c>
      <c r="AM29" s="7">
        <f>IF(AND($AJ29,$E29,$B29=1),1,0)</f>
        <v>1</v>
      </c>
      <c r="AN29" s="7">
        <f>IF(AND($AJ29,NOT($E29),$B29=1),1,0)</f>
        <v>0</v>
      </c>
      <c r="AO29" s="7">
        <f>IF(AND($E29,$B29=1),1,0)</f>
        <v>1</v>
      </c>
      <c r="AP29" s="7">
        <f>IF(AND(NOT($E29),$B29=1),1,0)</f>
        <v>0</v>
      </c>
      <c r="AQ29" s="7">
        <f>IF(AND($E29,$B29=2),1,0)</f>
        <v>0</v>
      </c>
      <c r="AR29" s="7">
        <f>IF(AND($AJ29,$E29,$B29=2),1,0)</f>
        <v>0</v>
      </c>
      <c r="AS29" s="7">
        <f>IF(AND(NOT($E29),$B29=2),1,0)</f>
        <v>0</v>
      </c>
      <c r="AT29" s="7">
        <f>IF(AND($AJ29,NOT($E29),$B29=2),1,0)</f>
        <v>0</v>
      </c>
      <c r="AU29" s="7">
        <f>IF(AND($E29,$B29=3),1,0)</f>
        <v>0</v>
      </c>
      <c r="AV29" s="7">
        <f>IF(AND(NOT($E29),$B29=3),1,0)</f>
        <v>0</v>
      </c>
      <c r="AW29" s="7">
        <f>IF(AND($AJ29,NOT($E29),$B29=3),1,0)</f>
        <v>0</v>
      </c>
    </row>
    <row r="30" spans="1:49" ht="12.75">
      <c r="A30" s="7">
        <v>15409</v>
      </c>
      <c r="B30" s="7">
        <v>1</v>
      </c>
      <c r="C30" s="7">
        <v>1</v>
      </c>
      <c r="D30" s="7">
        <v>1</v>
      </c>
      <c r="E30" s="7">
        <f>IF(AND(C30,D30),1,0)</f>
        <v>1</v>
      </c>
      <c r="F30" s="7">
        <v>15409</v>
      </c>
      <c r="G30" s="4">
        <v>7</v>
      </c>
      <c r="H30" s="4">
        <v>7</v>
      </c>
      <c r="I30" s="4">
        <v>3.5</v>
      </c>
      <c r="J30" s="4">
        <v>2</v>
      </c>
      <c r="K30" s="4">
        <v>4.3</v>
      </c>
      <c r="L30" s="4">
        <v>6.2</v>
      </c>
      <c r="M30" s="4">
        <v>7</v>
      </c>
      <c r="N30" s="4">
        <v>6</v>
      </c>
      <c r="O30" s="4">
        <v>8</v>
      </c>
      <c r="P30" s="4">
        <v>6</v>
      </c>
      <c r="Q30" s="4">
        <v>1.8</v>
      </c>
      <c r="R30" s="7">
        <v>12</v>
      </c>
      <c r="S30" s="2">
        <f>IF(E30,R30,0)</f>
        <v>12</v>
      </c>
      <c r="T30" s="2">
        <f>IF(NOT(E30),R30,0)</f>
        <v>0</v>
      </c>
      <c r="U30" s="3">
        <f>SUM(G30:Q30)/11</f>
        <v>5.345454545454545</v>
      </c>
      <c r="V30" s="3">
        <f>SUM(G30:Q30)/R30</f>
        <v>4.8999999999999995</v>
      </c>
      <c r="W30" s="4">
        <v>6.5</v>
      </c>
      <c r="X30" s="7">
        <v>15409</v>
      </c>
      <c r="Y30" s="7">
        <v>1.65</v>
      </c>
      <c r="Z30" s="4">
        <f>W30/2+Y30</f>
        <v>4.9</v>
      </c>
      <c r="AA30" s="7">
        <v>5</v>
      </c>
      <c r="AB30" s="7">
        <v>6.61</v>
      </c>
      <c r="AC30" s="6">
        <f>IF(AND($E30,ISNUMBER($AB30)),$AB30,"")</f>
        <v>6.61</v>
      </c>
      <c r="AD30" s="6" t="str">
        <f>IF(AND(NOT($E30),ISNUMBER($AB30)),$AB30,"")</f>
        <v/>
      </c>
      <c r="AE30" s="4">
        <f>AB30+AA30</f>
        <v>11.61</v>
      </c>
      <c r="AF30" s="7">
        <f>IF(OR($Z30&gt;=4,$AB30&gt;=4,$AA30&gt;=5),1,0)</f>
        <v>1</v>
      </c>
      <c r="AG30" s="7">
        <f>IF(OR($Z30&gt;=4,$AB30&gt;=4,$R30&gt;=10),1,0)</f>
        <v>1</v>
      </c>
      <c r="AH30" s="7">
        <f>IF(OR($Z30&gt;=4,$AB30&gt;=5,$R30&gt;=10),1,0)</f>
        <v>1</v>
      </c>
      <c r="AI30" s="7">
        <f>IF(OR($Z30&gt;=$AI$43,$AB30&gt;=$AI$43,$R30&gt;=10),1,0)</f>
        <v>1</v>
      </c>
      <c r="AJ30" s="7">
        <f>INDIRECT(CONCATENATE($AJ$2,CELL("row",AJ30)))</f>
        <v>1</v>
      </c>
      <c r="AK30" s="7">
        <f>IF(AND(AJ30,E30),1,0)</f>
        <v>1</v>
      </c>
      <c r="AL30" s="7">
        <f>IF(AND(AJ30,NOT(E30)),1,0)</f>
        <v>0</v>
      </c>
      <c r="AM30" s="7">
        <f>IF(AND($AJ30,$E30,$B30=1),1,0)</f>
        <v>1</v>
      </c>
      <c r="AN30" s="7">
        <f>IF(AND($AJ30,NOT($E30),$B30=1),1,0)</f>
        <v>0</v>
      </c>
      <c r="AO30" s="7">
        <f>IF(AND($E30,$B30=1),1,0)</f>
        <v>1</v>
      </c>
      <c r="AP30" s="7">
        <f>IF(AND(NOT($E30),$B30=1),1,0)</f>
        <v>0</v>
      </c>
      <c r="AQ30" s="7">
        <f>IF(AND($E30,$B30=2),1,0)</f>
        <v>0</v>
      </c>
      <c r="AR30" s="7">
        <f>IF(AND($AJ30,$E30,$B30=2),1,0)</f>
        <v>0</v>
      </c>
      <c r="AS30" s="7">
        <f>IF(AND(NOT($E30),$B30=2),1,0)</f>
        <v>0</v>
      </c>
      <c r="AT30" s="7">
        <f>IF(AND($AJ30,NOT($E30),$B30=2),1,0)</f>
        <v>0</v>
      </c>
      <c r="AU30" s="7">
        <f>IF(AND($E30,$B30=3),1,0)</f>
        <v>0</v>
      </c>
      <c r="AV30" s="7">
        <f>IF(AND(NOT($E30),$B30=3),1,0)</f>
        <v>0</v>
      </c>
      <c r="AW30" s="7">
        <f>IF(AND($AJ30,NOT($E30),$B30=3),1,0)</f>
        <v>0</v>
      </c>
    </row>
    <row r="31" spans="1:49" ht="12.75">
      <c r="A31" s="7">
        <v>15424</v>
      </c>
      <c r="B31" s="7">
        <v>1</v>
      </c>
      <c r="C31" s="7">
        <v>1</v>
      </c>
      <c r="D31" s="7">
        <v>0</v>
      </c>
      <c r="E31" s="7">
        <f>IF(AND(C31,D31),1,0)</f>
        <v>0</v>
      </c>
      <c r="F31" s="7">
        <v>15424</v>
      </c>
      <c r="G31" s="4">
        <v>4</v>
      </c>
      <c r="H31" s="4">
        <v>0.5</v>
      </c>
      <c r="I31" s="4">
        <v>3.2</v>
      </c>
      <c r="K31" s="4"/>
      <c r="L31" s="4"/>
      <c r="M31" s="4"/>
      <c r="N31" s="4"/>
      <c r="O31" s="4"/>
      <c r="P31" s="4"/>
      <c r="Q31" s="4"/>
      <c r="R31" s="7">
        <v>3</v>
      </c>
      <c r="S31" s="2">
        <f>IF(E31,R31,0)</f>
        <v>0</v>
      </c>
      <c r="T31" s="2">
        <f>IF(NOT(E31),R31,0)</f>
        <v>3</v>
      </c>
      <c r="U31" s="3">
        <f>SUM(G31:Q31)/11</f>
        <v>0.7000000000000001</v>
      </c>
      <c r="V31" s="3">
        <f>SUM(G31:Q31)/R31</f>
        <v>2.566666666666667</v>
      </c>
      <c r="W31" s="4">
        <v>3</v>
      </c>
      <c r="X31" s="7">
        <v>15424</v>
      </c>
      <c r="Z31" s="4">
        <f>W31/2+Y31</f>
        <v>1.5</v>
      </c>
      <c r="AA31" s="7">
        <v>1.5</v>
      </c>
      <c r="AB31" s="7">
        <v>0.806</v>
      </c>
      <c r="AC31" s="6" t="str">
        <f>IF(AND($E31,ISNUMBER($AB31)),$AB31,"")</f>
        <v/>
      </c>
      <c r="AD31" s="6">
        <f>IF(AND(NOT($E31),ISNUMBER($AB31)),$AB31,"")</f>
        <v>0.806</v>
      </c>
      <c r="AE31" s="4">
        <f>AB31+AA31</f>
        <v>2.306</v>
      </c>
      <c r="AF31" s="7">
        <f>IF(OR($Z31&gt;=4,$AB31&gt;=4,$AA31&gt;=5),1,0)</f>
        <v>0</v>
      </c>
      <c r="AG31" s="7">
        <f>IF(OR($Z31&gt;=4,$AB31&gt;=4,$R31&gt;=10),1,0)</f>
        <v>0</v>
      </c>
      <c r="AH31" s="7">
        <f>IF(OR($Z31&gt;=4,$AB31&gt;=5,$R31&gt;=10),1,0)</f>
        <v>0</v>
      </c>
      <c r="AI31" s="7">
        <f>IF(OR($Z31&gt;=$AI$43,$AB31&gt;=$AI$43,$R31&gt;=10),1,0)</f>
        <v>0</v>
      </c>
      <c r="AJ31" s="7">
        <f>INDIRECT(CONCATENATE($AJ$2,CELL("row",AJ31)))</f>
        <v>0</v>
      </c>
      <c r="AK31" s="7">
        <f>IF(AND(AJ31,E31),1,0)</f>
        <v>0</v>
      </c>
      <c r="AL31" s="7">
        <f>IF(AND(AJ31,NOT(E31)),1,0)</f>
        <v>0</v>
      </c>
      <c r="AM31" s="7">
        <f>IF(AND($AJ31,$E31,$B31=1),1,0)</f>
        <v>0</v>
      </c>
      <c r="AN31" s="7">
        <f>IF(AND($AJ31,NOT($E31),$B31=1),1,0)</f>
        <v>0</v>
      </c>
      <c r="AO31" s="7">
        <f>IF(AND($E31,$B31=1),1,0)</f>
        <v>0</v>
      </c>
      <c r="AP31" s="7">
        <f>IF(AND(NOT($E31),$B31=1),1,0)</f>
        <v>1</v>
      </c>
      <c r="AQ31" s="7">
        <f>IF(AND($E31,$B31=2),1,0)</f>
        <v>0</v>
      </c>
      <c r="AR31" s="7">
        <f>IF(AND($AJ31,$E31,$B31=2),1,0)</f>
        <v>0</v>
      </c>
      <c r="AS31" s="7">
        <f>IF(AND(NOT($E31),$B31=2),1,0)</f>
        <v>0</v>
      </c>
      <c r="AT31" s="7">
        <f>IF(AND($AJ31,NOT($E31),$B31=2),1,0)</f>
        <v>0</v>
      </c>
      <c r="AU31" s="7">
        <f>IF(AND($E31,$B31=3),1,0)</f>
        <v>0</v>
      </c>
      <c r="AV31" s="7">
        <f>IF(AND(NOT($E31),$B31=3),1,0)</f>
        <v>0</v>
      </c>
      <c r="AW31" s="7">
        <f>IF(AND($AJ31,NOT($E31),$B31=3),1,0)</f>
        <v>0</v>
      </c>
    </row>
    <row r="32" spans="1:49" ht="12.75">
      <c r="A32" s="7">
        <v>15451</v>
      </c>
      <c r="B32" s="7">
        <v>1</v>
      </c>
      <c r="C32" s="7">
        <v>1</v>
      </c>
      <c r="D32" s="7">
        <v>0</v>
      </c>
      <c r="E32" s="7">
        <f>IF(AND(C32,D32),1,0)</f>
        <v>0</v>
      </c>
      <c r="F32" s="7">
        <v>15451</v>
      </c>
      <c r="G32" s="4">
        <v>2</v>
      </c>
      <c r="H32" s="4">
        <v>2</v>
      </c>
      <c r="I32" s="4">
        <v>5.1</v>
      </c>
      <c r="K32" s="4"/>
      <c r="L32" s="4"/>
      <c r="M32" s="4"/>
      <c r="N32" s="4"/>
      <c r="O32" s="4"/>
      <c r="P32" s="4"/>
      <c r="Q32" s="4"/>
      <c r="R32" s="7">
        <v>3</v>
      </c>
      <c r="S32" s="2">
        <f>IF(E32,R32,0)</f>
        <v>0</v>
      </c>
      <c r="T32" s="2">
        <f>IF(NOT(E32),R32,0)</f>
        <v>3</v>
      </c>
      <c r="U32" s="3">
        <f>SUM(G32:Q32)/11</f>
        <v>0.8272727272727273</v>
      </c>
      <c r="V32" s="3">
        <f>SUM(G32:Q32)/R32</f>
        <v>3.033333333333333</v>
      </c>
      <c r="W32" s="4">
        <v>2</v>
      </c>
      <c r="Z32" s="4">
        <f>W32/2+Y32</f>
        <v>1</v>
      </c>
      <c r="AA32" s="7">
        <v>1</v>
      </c>
      <c r="AB32" s="7">
        <v>0.967</v>
      </c>
      <c r="AC32" s="6" t="str">
        <f>IF(AND($E32,ISNUMBER($AB32)),$AB32,"")</f>
        <v/>
      </c>
      <c r="AD32" s="6">
        <f>IF(AND(NOT($E32),ISNUMBER($AB32)),$AB32,"")</f>
        <v>0.967</v>
      </c>
      <c r="AE32" s="4">
        <f>AB32+AA32</f>
        <v>1.967</v>
      </c>
      <c r="AF32" s="7">
        <f>IF(OR($Z32&gt;=4,$AB32&gt;=4,$AA32&gt;=5),1,0)</f>
        <v>0</v>
      </c>
      <c r="AG32" s="7">
        <f>IF(OR($Z32&gt;=4,$AB32&gt;=4,$R32&gt;=10),1,0)</f>
        <v>0</v>
      </c>
      <c r="AH32" s="7">
        <f>IF(OR($Z32&gt;=4,$AB32&gt;=5,$R32&gt;=10),1,0)</f>
        <v>0</v>
      </c>
      <c r="AI32" s="7">
        <f>IF(OR($Z32&gt;=$AI$43,$AB32&gt;=$AI$43,$R32&gt;=10),1,0)</f>
        <v>0</v>
      </c>
      <c r="AJ32" s="7">
        <f>INDIRECT(CONCATENATE($AJ$2,CELL("row",AJ32)))</f>
        <v>0</v>
      </c>
      <c r="AK32" s="7">
        <f>IF(AND(AJ32,E32),1,0)</f>
        <v>0</v>
      </c>
      <c r="AL32" s="7">
        <f>IF(AND(AJ32,NOT(E32)),1,0)</f>
        <v>0</v>
      </c>
      <c r="AM32" s="7">
        <f>IF(AND($AJ32,$E32,$B32=1),1,0)</f>
        <v>0</v>
      </c>
      <c r="AN32" s="7">
        <f>IF(AND($AJ32,NOT($E32),$B32=1),1,0)</f>
        <v>0</v>
      </c>
      <c r="AO32" s="7">
        <f>IF(AND($E32,$B32=1),1,0)</f>
        <v>0</v>
      </c>
      <c r="AP32" s="7">
        <f>IF(AND(NOT($E32),$B32=1),1,0)</f>
        <v>1</v>
      </c>
      <c r="AQ32" s="7">
        <f>IF(AND($E32,$B32=2),1,0)</f>
        <v>0</v>
      </c>
      <c r="AR32" s="7">
        <f>IF(AND($AJ32,$E32,$B32=2),1,0)</f>
        <v>0</v>
      </c>
      <c r="AS32" s="7">
        <f>IF(AND(NOT($E32),$B32=2),1,0)</f>
        <v>0</v>
      </c>
      <c r="AT32" s="7">
        <f>IF(AND($AJ32,NOT($E32),$B32=2),1,0)</f>
        <v>0</v>
      </c>
      <c r="AU32" s="7">
        <f>IF(AND($E32,$B32=3),1,0)</f>
        <v>0</v>
      </c>
      <c r="AV32" s="7">
        <f>IF(AND(NOT($E32),$B32=3),1,0)</f>
        <v>0</v>
      </c>
      <c r="AW32" s="7">
        <f>IF(AND($AJ32,NOT($E32),$B32=3),1,0)</f>
        <v>0</v>
      </c>
    </row>
    <row r="33" spans="1:49" ht="12.75">
      <c r="A33" s="7">
        <v>15454</v>
      </c>
      <c r="B33" s="7">
        <v>1</v>
      </c>
      <c r="C33" s="7">
        <v>1</v>
      </c>
      <c r="D33" s="7">
        <v>1</v>
      </c>
      <c r="E33" s="7">
        <f>IF(AND(C33,D33),1,0)</f>
        <v>1</v>
      </c>
      <c r="F33" s="7">
        <v>15454</v>
      </c>
      <c r="G33" s="4">
        <v>7</v>
      </c>
      <c r="H33" s="4">
        <v>5.5</v>
      </c>
      <c r="I33" s="4">
        <v>4.5</v>
      </c>
      <c r="J33" s="4">
        <v>9</v>
      </c>
      <c r="K33" s="4">
        <v>6.4</v>
      </c>
      <c r="L33" s="4">
        <v>7.3</v>
      </c>
      <c r="M33" s="4">
        <v>2.8</v>
      </c>
      <c r="N33" s="4">
        <v>8</v>
      </c>
      <c r="O33" s="4">
        <v>4.5</v>
      </c>
      <c r="P33" s="4">
        <v>3</v>
      </c>
      <c r="Q33" s="4">
        <v>7.2</v>
      </c>
      <c r="R33" s="7">
        <v>12</v>
      </c>
      <c r="S33" s="2">
        <f>IF(E33,R33,0)</f>
        <v>12</v>
      </c>
      <c r="T33" s="2">
        <f>IF(NOT(E33),R33,0)</f>
        <v>0</v>
      </c>
      <c r="U33" s="3">
        <f>SUM(G33:Q33)/11</f>
        <v>5.927272727272728</v>
      </c>
      <c r="V33" s="3">
        <f>SUM(G33:Q33)/R33</f>
        <v>5.433333333333334</v>
      </c>
      <c r="W33" s="4">
        <v>5</v>
      </c>
      <c r="X33" s="7">
        <v>15454</v>
      </c>
      <c r="Y33" s="7">
        <v>4.35</v>
      </c>
      <c r="Z33" s="4">
        <f>W33/2+Y33</f>
        <v>6.85</v>
      </c>
      <c r="AA33" s="7">
        <v>6.8</v>
      </c>
      <c r="AB33" s="7">
        <v>6.82</v>
      </c>
      <c r="AC33" s="6">
        <f>IF(AND($E33,ISNUMBER($AB33)),$AB33,"")</f>
        <v>6.82</v>
      </c>
      <c r="AD33" s="6" t="str">
        <f>IF(AND(NOT($E33),ISNUMBER($AB33)),$AB33,"")</f>
        <v/>
      </c>
      <c r="AE33" s="4">
        <f>AB33+AA33</f>
        <v>13.620000000000001</v>
      </c>
      <c r="AF33" s="7">
        <f>IF(OR($Z33&gt;=4,$AB33&gt;=4,$AA33&gt;=5),1,0)</f>
        <v>1</v>
      </c>
      <c r="AG33" s="7">
        <f>IF(OR($Z33&gt;=4,$AB33&gt;=4,$R33&gt;=10),1,0)</f>
        <v>1</v>
      </c>
      <c r="AH33" s="7">
        <f>IF(OR($Z33&gt;=4,$AB33&gt;=5,$R33&gt;=10),1,0)</f>
        <v>1</v>
      </c>
      <c r="AI33" s="7">
        <f>IF(OR($Z33&gt;=$AI$43,$AB33&gt;=$AI$43,$R33&gt;=10),1,0)</f>
        <v>1</v>
      </c>
      <c r="AJ33" s="7">
        <f>INDIRECT(CONCATENATE($AJ$2,CELL("row",AJ33)))</f>
        <v>1</v>
      </c>
      <c r="AK33" s="7">
        <f>IF(AND(AJ33,E33),1,0)</f>
        <v>1</v>
      </c>
      <c r="AL33" s="7">
        <f>IF(AND(AJ33,NOT(E33)),1,0)</f>
        <v>0</v>
      </c>
      <c r="AM33" s="7">
        <f>IF(AND($AJ33,$E33,$B33=1),1,0)</f>
        <v>1</v>
      </c>
      <c r="AN33" s="7">
        <f>IF(AND($AJ33,NOT($E33),$B33=1),1,0)</f>
        <v>0</v>
      </c>
      <c r="AO33" s="7">
        <f>IF(AND($E33,$B33=1),1,0)</f>
        <v>1</v>
      </c>
      <c r="AP33" s="7">
        <f>IF(AND(NOT($E33),$B33=1),1,0)</f>
        <v>0</v>
      </c>
      <c r="AQ33" s="7">
        <f>IF(AND($E33,$B33=2),1,0)</f>
        <v>0</v>
      </c>
      <c r="AR33" s="7">
        <f>IF(AND($AJ33,$E33,$B33=2),1,0)</f>
        <v>0</v>
      </c>
      <c r="AS33" s="7">
        <f>IF(AND(NOT($E33),$B33=2),1,0)</f>
        <v>0</v>
      </c>
      <c r="AT33" s="7">
        <f>IF(AND($AJ33,NOT($E33),$B33=2),1,0)</f>
        <v>0</v>
      </c>
      <c r="AU33" s="7">
        <f>IF(AND($E33,$B33=3),1,0)</f>
        <v>0</v>
      </c>
      <c r="AV33" s="7">
        <f>IF(AND(NOT($E33),$B33=3),1,0)</f>
        <v>0</v>
      </c>
      <c r="AW33" s="7">
        <f>IF(AND($AJ33,NOT($E33),$B33=3),1,0)</f>
        <v>0</v>
      </c>
    </row>
    <row r="34" spans="1:49" ht="12.75">
      <c r="A34" s="7">
        <v>15457</v>
      </c>
      <c r="B34" s="7">
        <v>1</v>
      </c>
      <c r="C34" s="7">
        <v>1</v>
      </c>
      <c r="D34" s="7">
        <v>1</v>
      </c>
      <c r="E34" s="7">
        <f>IF(AND(C34,D34),1,0)</f>
        <v>1</v>
      </c>
      <c r="F34" s="7">
        <v>15457</v>
      </c>
      <c r="G34" s="4">
        <v>6</v>
      </c>
      <c r="H34" s="4">
        <v>6</v>
      </c>
      <c r="I34" s="4">
        <v>3</v>
      </c>
      <c r="J34" s="4">
        <v>1</v>
      </c>
      <c r="K34" s="4">
        <v>4.4</v>
      </c>
      <c r="L34" s="4">
        <v>9</v>
      </c>
      <c r="M34" s="4">
        <v>9</v>
      </c>
      <c r="N34" s="4">
        <v>4</v>
      </c>
      <c r="O34" s="4">
        <v>4</v>
      </c>
      <c r="P34" s="4">
        <v>1</v>
      </c>
      <c r="Q34" s="4">
        <v>1.2</v>
      </c>
      <c r="R34" s="7">
        <v>12</v>
      </c>
      <c r="S34" s="2">
        <f>IF(E34,R34,0)</f>
        <v>12</v>
      </c>
      <c r="T34" s="2">
        <f>IF(NOT(E34),R34,0)</f>
        <v>0</v>
      </c>
      <c r="U34" s="3">
        <f>SUM(G34:Q34)/11</f>
        <v>4.418181818181818</v>
      </c>
      <c r="V34" s="3">
        <f>SUM(G34:Q34)/R34</f>
        <v>4.05</v>
      </c>
      <c r="W34" s="4">
        <v>2</v>
      </c>
      <c r="X34" s="7">
        <v>15457</v>
      </c>
      <c r="Y34" s="7">
        <v>1.4</v>
      </c>
      <c r="Z34" s="4">
        <f>W34/2+Y34</f>
        <v>2.4</v>
      </c>
      <c r="AA34" s="7">
        <v>5</v>
      </c>
      <c r="AB34" s="7">
        <v>5.45</v>
      </c>
      <c r="AC34" s="6">
        <f>IF(AND($E34,ISNUMBER($AB34)),$AB34,"")</f>
        <v>5.45</v>
      </c>
      <c r="AD34" s="6" t="str">
        <f>IF(AND(NOT($E34),ISNUMBER($AB34)),$AB34,"")</f>
        <v/>
      </c>
      <c r="AE34" s="4">
        <f>AB34+AA34</f>
        <v>10.45</v>
      </c>
      <c r="AF34" s="7">
        <f>IF(OR($Z34&gt;=4,$AB34&gt;=4,$AA34&gt;=5),1,0)</f>
        <v>1</v>
      </c>
      <c r="AG34" s="7">
        <f>IF(OR($Z34&gt;=4,$AB34&gt;=4,$R34&gt;=10),1,0)</f>
        <v>1</v>
      </c>
      <c r="AH34" s="7">
        <f>IF(OR($Z34&gt;=4,$AB34&gt;=5,$R34&gt;=10),1,0)</f>
        <v>1</v>
      </c>
      <c r="AI34" s="7">
        <f>IF(OR($Z34&gt;=$AI$43,$AB34&gt;=$AI$43,$R34&gt;=10),1,0)</f>
        <v>1</v>
      </c>
      <c r="AJ34" s="7">
        <f>INDIRECT(CONCATENATE($AJ$2,CELL("row",AJ34)))</f>
        <v>1</v>
      </c>
      <c r="AK34" s="7">
        <f>IF(AND(AJ34,E34),1,0)</f>
        <v>1</v>
      </c>
      <c r="AL34" s="7">
        <f>IF(AND(AJ34,NOT(E34)),1,0)</f>
        <v>0</v>
      </c>
      <c r="AM34" s="7">
        <f>IF(AND($AJ34,$E34,$B34=1),1,0)</f>
        <v>1</v>
      </c>
      <c r="AN34" s="7">
        <f>IF(AND($AJ34,NOT($E34),$B34=1),1,0)</f>
        <v>0</v>
      </c>
      <c r="AO34" s="7">
        <f>IF(AND($E34,$B34=1),1,0)</f>
        <v>1</v>
      </c>
      <c r="AP34" s="7">
        <f>IF(AND(NOT($E34),$B34=1),1,0)</f>
        <v>0</v>
      </c>
      <c r="AQ34" s="7">
        <f>IF(AND($E34,$B34=2),1,0)</f>
        <v>0</v>
      </c>
      <c r="AR34" s="7">
        <f>IF(AND($AJ34,$E34,$B34=2),1,0)</f>
        <v>0</v>
      </c>
      <c r="AS34" s="7">
        <f>IF(AND(NOT($E34),$B34=2),1,0)</f>
        <v>0</v>
      </c>
      <c r="AT34" s="7">
        <f>IF(AND($AJ34,NOT($E34),$B34=2),1,0)</f>
        <v>0</v>
      </c>
      <c r="AU34" s="7">
        <f>IF(AND($E34,$B34=3),1,0)</f>
        <v>0</v>
      </c>
      <c r="AV34" s="7">
        <f>IF(AND(NOT($E34),$B34=3),1,0)</f>
        <v>0</v>
      </c>
      <c r="AW34" s="7">
        <f>IF(AND($AJ34,NOT($E34),$B34=3),1,0)</f>
        <v>0</v>
      </c>
    </row>
    <row r="35" spans="1:49" ht="12.75">
      <c r="A35" s="7">
        <v>15477</v>
      </c>
      <c r="B35" s="7">
        <v>1</v>
      </c>
      <c r="C35" s="7">
        <v>1</v>
      </c>
      <c r="D35" s="7">
        <v>1</v>
      </c>
      <c r="E35" s="7">
        <f>IF(AND(C35,D35),1,0)</f>
        <v>1</v>
      </c>
      <c r="F35" s="7">
        <v>15477</v>
      </c>
      <c r="G35" s="4">
        <v>6</v>
      </c>
      <c r="H35" s="4">
        <v>6.5</v>
      </c>
      <c r="I35" s="4">
        <v>2</v>
      </c>
      <c r="J35" s="4">
        <v>1</v>
      </c>
      <c r="L35" s="4"/>
      <c r="M35" s="4"/>
      <c r="N35" s="4"/>
      <c r="O35" s="4"/>
      <c r="P35" s="4"/>
      <c r="Q35" s="4"/>
      <c r="R35" s="7">
        <v>4</v>
      </c>
      <c r="S35" s="2">
        <f>IF(E35,R35,0)</f>
        <v>4</v>
      </c>
      <c r="T35" s="2">
        <f>IF(NOT(E35),R35,0)</f>
        <v>0</v>
      </c>
      <c r="U35" s="3">
        <f>SUM(G35:Q35)/11</f>
        <v>1.4090909090909092</v>
      </c>
      <c r="V35" s="3">
        <f>SUM(G35:Q35)/R35</f>
        <v>3.875</v>
      </c>
      <c r="W35" s="4">
        <v>3</v>
      </c>
      <c r="Z35" s="4">
        <f>W35/2+Y35</f>
        <v>1.5</v>
      </c>
      <c r="AA35" s="7">
        <v>1.7</v>
      </c>
      <c r="AB35" s="7">
        <v>1.72</v>
      </c>
      <c r="AC35" s="6">
        <f>IF(AND($E35,ISNUMBER($AB35)),$AB35,"")</f>
        <v>1.72</v>
      </c>
      <c r="AD35" s="6" t="str">
        <f>IF(AND(NOT($E35),ISNUMBER($AB35)),$AB35,"")</f>
        <v/>
      </c>
      <c r="AE35" s="4">
        <f>AB35+AA35</f>
        <v>3.42</v>
      </c>
      <c r="AF35" s="7">
        <f>IF(OR($Z35&gt;=4,$AB35&gt;=4,$AA35&gt;=5),1,0)</f>
        <v>0</v>
      </c>
      <c r="AG35" s="7">
        <f>IF(OR($Z35&gt;=4,$AB35&gt;=4,$R35&gt;=10),1,0)</f>
        <v>0</v>
      </c>
      <c r="AH35" s="7">
        <f>IF(OR($Z35&gt;=4,$AB35&gt;=5,$R35&gt;=10),1,0)</f>
        <v>0</v>
      </c>
      <c r="AI35" s="7">
        <f>IF(OR($Z35&gt;=$AI$43,$AB35&gt;=$AI$43,$R35&gt;=10),1,0)</f>
        <v>0</v>
      </c>
      <c r="AJ35" s="7">
        <f>INDIRECT(CONCATENATE($AJ$2,CELL("row",AJ35)))</f>
        <v>0</v>
      </c>
      <c r="AK35" s="7">
        <f>IF(AND(AJ35,E35),1,0)</f>
        <v>0</v>
      </c>
      <c r="AL35" s="7">
        <f>IF(AND(AJ35,NOT(E35)),1,0)</f>
        <v>0</v>
      </c>
      <c r="AM35" s="7">
        <f>IF(AND($AJ35,$E35,$B35=1),1,0)</f>
        <v>0</v>
      </c>
      <c r="AN35" s="7">
        <f>IF(AND($AJ35,NOT($E35),$B35=1),1,0)</f>
        <v>0</v>
      </c>
      <c r="AO35" s="7">
        <f>IF(AND($E35,$B35=1),1,0)</f>
        <v>1</v>
      </c>
      <c r="AP35" s="7">
        <f>IF(AND(NOT($E35),$B35=1),1,0)</f>
        <v>0</v>
      </c>
      <c r="AQ35" s="7">
        <f>IF(AND($E35,$B35=2),1,0)</f>
        <v>0</v>
      </c>
      <c r="AR35" s="7">
        <f>IF(AND($AJ35,$E35,$B35=2),1,0)</f>
        <v>0</v>
      </c>
      <c r="AS35" s="7">
        <f>IF(AND(NOT($E35),$B35=2),1,0)</f>
        <v>0</v>
      </c>
      <c r="AT35" s="7">
        <f>IF(AND($AJ35,NOT($E35),$B35=2),1,0)</f>
        <v>0</v>
      </c>
      <c r="AU35" s="7">
        <f>IF(AND($E35,$B35=3),1,0)</f>
        <v>0</v>
      </c>
      <c r="AV35" s="7">
        <f>IF(AND(NOT($E35),$B35=3),1,0)</f>
        <v>0</v>
      </c>
      <c r="AW35" s="7">
        <f>IF(AND($AJ35,NOT($E35),$B35=3),1,0)</f>
        <v>0</v>
      </c>
    </row>
    <row r="36" spans="1:49" ht="12.75">
      <c r="A36" s="7">
        <v>15482</v>
      </c>
      <c r="B36" s="7">
        <v>1</v>
      </c>
      <c r="C36" s="7">
        <v>1</v>
      </c>
      <c r="D36" s="7">
        <v>0</v>
      </c>
      <c r="E36" s="7">
        <f>IF(AND(C36,D36),1,0)</f>
        <v>0</v>
      </c>
      <c r="F36" s="7">
        <v>15482</v>
      </c>
      <c r="G36" s="4">
        <v>2</v>
      </c>
      <c r="H36" s="4">
        <v>3</v>
      </c>
      <c r="I36" s="4">
        <v>0.5</v>
      </c>
      <c r="J36" s="4">
        <v>1.5</v>
      </c>
      <c r="K36" s="4">
        <v>0</v>
      </c>
      <c r="L36" s="4">
        <v>0.5</v>
      </c>
      <c r="M36" s="4">
        <v>2</v>
      </c>
      <c r="N36" s="4">
        <v>3</v>
      </c>
      <c r="O36" s="4">
        <v>4</v>
      </c>
      <c r="Q36" s="4"/>
      <c r="R36" s="7">
        <v>9</v>
      </c>
      <c r="S36" s="2">
        <f>IF(E36,R36,0)</f>
        <v>0</v>
      </c>
      <c r="T36" s="2">
        <f>IF(NOT(E36),R36,0)</f>
        <v>9</v>
      </c>
      <c r="U36" s="3">
        <f>SUM(G36:Q36)/11</f>
        <v>1.5</v>
      </c>
      <c r="V36" s="3">
        <f>SUM(G36:Q36)/R36</f>
        <v>1.8333333333333333</v>
      </c>
      <c r="W36" s="4">
        <v>5</v>
      </c>
      <c r="X36" s="7">
        <v>15482</v>
      </c>
      <c r="Y36" s="7">
        <v>2.9</v>
      </c>
      <c r="Z36" s="4">
        <f>W36/2+Y36</f>
        <v>5.4</v>
      </c>
      <c r="AA36" s="7">
        <v>5</v>
      </c>
      <c r="AB36" s="7">
        <v>1.79</v>
      </c>
      <c r="AC36" s="6" t="str">
        <f>IF(AND($E36,ISNUMBER($AB36)),$AB36,"")</f>
        <v/>
      </c>
      <c r="AD36" s="6">
        <f>IF(AND(NOT($E36),ISNUMBER($AB36)),$AB36,"")</f>
        <v>1.79</v>
      </c>
      <c r="AE36" s="4">
        <f>AB36+AA36</f>
        <v>6.79</v>
      </c>
      <c r="AF36" s="7">
        <f>IF(OR($Z36&gt;=4,$AB36&gt;=4,$AA36&gt;=5),1,0)</f>
        <v>1</v>
      </c>
      <c r="AG36" s="7">
        <f>IF(OR($Z36&gt;=4,$AB36&gt;=4,$R36&gt;=10),1,0)</f>
        <v>1</v>
      </c>
      <c r="AH36" s="7">
        <f>IF(OR($Z36&gt;=4,$AB36&gt;=5,$R36&gt;=10),1,0)</f>
        <v>1</v>
      </c>
      <c r="AI36" s="7">
        <f>IF(OR($Z36&gt;=$AI$43,$AB36&gt;=$AI$43,$R36&gt;=10),1,0)</f>
        <v>1</v>
      </c>
      <c r="AJ36" s="7">
        <f>INDIRECT(CONCATENATE($AJ$2,CELL("row",AJ36)))</f>
        <v>1</v>
      </c>
      <c r="AK36" s="7">
        <f>IF(AND(AJ36,E36),1,0)</f>
        <v>0</v>
      </c>
      <c r="AL36" s="7">
        <f>IF(AND(AJ36,NOT(E36)),1,0)</f>
        <v>1</v>
      </c>
      <c r="AM36" s="7">
        <f>IF(AND($AJ36,$E36,$B36=1),1,0)</f>
        <v>0</v>
      </c>
      <c r="AN36" s="7">
        <f>IF(AND($AJ36,NOT($E36),$B36=1),1,0)</f>
        <v>1</v>
      </c>
      <c r="AO36" s="7">
        <f>IF(AND($E36,$B36=1),1,0)</f>
        <v>0</v>
      </c>
      <c r="AP36" s="7">
        <f>IF(AND(NOT($E36),$B36=1),1,0)</f>
        <v>1</v>
      </c>
      <c r="AQ36" s="7">
        <f>IF(AND($E36,$B36=2),1,0)</f>
        <v>0</v>
      </c>
      <c r="AR36" s="7">
        <f>IF(AND($AJ36,$E36,$B36=2),1,0)</f>
        <v>0</v>
      </c>
      <c r="AS36" s="7">
        <f>IF(AND(NOT($E36),$B36=2),1,0)</f>
        <v>0</v>
      </c>
      <c r="AT36" s="7">
        <f>IF(AND($AJ36,NOT($E36),$B36=2),1,0)</f>
        <v>0</v>
      </c>
      <c r="AU36" s="7">
        <f>IF(AND($E36,$B36=3),1,0)</f>
        <v>0</v>
      </c>
      <c r="AV36" s="7">
        <f>IF(AND(NOT($E36),$B36=3),1,0)</f>
        <v>0</v>
      </c>
      <c r="AW36" s="7">
        <f>IF(AND($AJ36,NOT($E36),$B36=3),1,0)</f>
        <v>0</v>
      </c>
    </row>
    <row r="37" spans="1:49" ht="12.75">
      <c r="A37" s="7">
        <v>15484</v>
      </c>
      <c r="B37" s="7">
        <v>1</v>
      </c>
      <c r="C37" s="7">
        <v>1</v>
      </c>
      <c r="D37" s="7">
        <v>0</v>
      </c>
      <c r="E37" s="7">
        <f>IF(AND(C37,D37),1,0)</f>
        <v>0</v>
      </c>
      <c r="F37" s="7">
        <v>15484</v>
      </c>
      <c r="G37" s="4">
        <v>6.5</v>
      </c>
      <c r="H37" s="4">
        <v>5</v>
      </c>
      <c r="I37" s="4">
        <v>2</v>
      </c>
      <c r="J37" s="4">
        <v>4</v>
      </c>
      <c r="K37" s="4">
        <v>2.6</v>
      </c>
      <c r="L37" s="4">
        <v>2.8</v>
      </c>
      <c r="M37" s="4">
        <v>2.8</v>
      </c>
      <c r="N37" s="4">
        <v>1</v>
      </c>
      <c r="O37" s="4">
        <v>8</v>
      </c>
      <c r="P37" s="4">
        <v>3</v>
      </c>
      <c r="Q37" s="4">
        <v>2.4</v>
      </c>
      <c r="R37" s="7">
        <v>12</v>
      </c>
      <c r="S37" s="2">
        <f>IF(E37,R37,0)</f>
        <v>0</v>
      </c>
      <c r="T37" s="2">
        <f>IF(NOT(E37),R37,0)</f>
        <v>12</v>
      </c>
      <c r="U37" s="3">
        <f>SUM(G37:Q37)/11</f>
        <v>3.6454545454545455</v>
      </c>
      <c r="V37" s="3">
        <f>SUM(G37:Q37)/R37</f>
        <v>3.341666666666667</v>
      </c>
      <c r="W37" s="4">
        <v>6</v>
      </c>
      <c r="X37" s="7">
        <v>15484</v>
      </c>
      <c r="Y37" s="7">
        <v>2.45</v>
      </c>
      <c r="Z37" s="4">
        <f>W37/2+Y37</f>
        <v>5.45</v>
      </c>
      <c r="AA37" s="7">
        <v>5</v>
      </c>
      <c r="AB37" s="7">
        <v>4.24</v>
      </c>
      <c r="AC37" s="6" t="str">
        <f>IF(AND($E37,ISNUMBER($AB37)),$AB37,"")</f>
        <v/>
      </c>
      <c r="AD37" s="6">
        <f>IF(AND(NOT($E37),ISNUMBER($AB37)),$AB37,"")</f>
        <v>4.24</v>
      </c>
      <c r="AE37" s="4">
        <f>AB37+AA37</f>
        <v>9.24</v>
      </c>
      <c r="AF37" s="7">
        <f>IF(OR($Z37&gt;=4,$AB37&gt;=4,$AA37&gt;=5),1,0)</f>
        <v>1</v>
      </c>
      <c r="AG37" s="7">
        <f>IF(OR($Z37&gt;=4,$AB37&gt;=4,$R37&gt;=10),1,0)</f>
        <v>1</v>
      </c>
      <c r="AH37" s="7">
        <f>IF(OR($Z37&gt;=4,$AB37&gt;=5,$R37&gt;=10),1,0)</f>
        <v>1</v>
      </c>
      <c r="AI37" s="7">
        <f>IF(OR($Z37&gt;=$AI$43,$AB37&gt;=$AI$43,$R37&gt;=10),1,0)</f>
        <v>1</v>
      </c>
      <c r="AJ37" s="7">
        <f>INDIRECT(CONCATENATE($AJ$2,CELL("row",AJ37)))</f>
        <v>1</v>
      </c>
      <c r="AK37" s="7">
        <f>IF(AND(AJ37,E37),1,0)</f>
        <v>0</v>
      </c>
      <c r="AL37" s="7">
        <f>IF(AND(AJ37,NOT(E37)),1,0)</f>
        <v>1</v>
      </c>
      <c r="AM37" s="7">
        <f>IF(AND($AJ37,$E37,$B37=1),1,0)</f>
        <v>0</v>
      </c>
      <c r="AN37" s="7">
        <f>IF(AND($AJ37,NOT($E37),$B37=1),1,0)</f>
        <v>1</v>
      </c>
      <c r="AO37" s="7">
        <f>IF(AND($E37,$B37=1),1,0)</f>
        <v>0</v>
      </c>
      <c r="AP37" s="7">
        <f>IF(AND(NOT($E37),$B37=1),1,0)</f>
        <v>1</v>
      </c>
      <c r="AQ37" s="7">
        <f>IF(AND($E37,$B37=2),1,0)</f>
        <v>0</v>
      </c>
      <c r="AR37" s="7">
        <f>IF(AND($AJ37,$E37,$B37=2),1,0)</f>
        <v>0</v>
      </c>
      <c r="AS37" s="7">
        <f>IF(AND(NOT($E37),$B37=2),1,0)</f>
        <v>0</v>
      </c>
      <c r="AT37" s="7">
        <f>IF(AND($AJ37,NOT($E37),$B37=2),1,0)</f>
        <v>0</v>
      </c>
      <c r="AU37" s="7">
        <f>IF(AND($E37,$B37=3),1,0)</f>
        <v>0</v>
      </c>
      <c r="AV37" s="7">
        <f>IF(AND(NOT($E37),$B37=3),1,0)</f>
        <v>0</v>
      </c>
      <c r="AW37" s="7">
        <f>IF(AND($AJ37,NOT($E37),$B37=3),1,0)</f>
        <v>0</v>
      </c>
    </row>
    <row r="38" spans="1:49" ht="12.75">
      <c r="A38" s="7">
        <v>15486</v>
      </c>
      <c r="B38" s="7">
        <v>1</v>
      </c>
      <c r="C38" s="7">
        <v>1</v>
      </c>
      <c r="D38" s="7">
        <v>1</v>
      </c>
      <c r="E38" s="7">
        <f>IF(AND(C38,D38),1,0)</f>
        <v>1</v>
      </c>
      <c r="F38" s="7">
        <v>15486</v>
      </c>
      <c r="G38" s="4">
        <v>8</v>
      </c>
      <c r="H38" s="4">
        <v>8</v>
      </c>
      <c r="I38" s="4">
        <v>4</v>
      </c>
      <c r="J38" s="4">
        <v>6.5</v>
      </c>
      <c r="K38" s="4">
        <v>3.5</v>
      </c>
      <c r="L38" s="4">
        <v>0.5</v>
      </c>
      <c r="M38" s="4">
        <v>3.2</v>
      </c>
      <c r="O38" s="4"/>
      <c r="P38" s="4"/>
      <c r="Q38" s="4"/>
      <c r="R38" s="7">
        <v>7</v>
      </c>
      <c r="S38" s="2">
        <f>IF(E38,R38,0)</f>
        <v>7</v>
      </c>
      <c r="T38" s="2">
        <f>IF(NOT(E38),R38,0)</f>
        <v>0</v>
      </c>
      <c r="U38" s="3">
        <f>SUM(G38:Q38)/11</f>
        <v>3.063636363636364</v>
      </c>
      <c r="V38" s="3">
        <f>SUM(G38:Q38)/R38</f>
        <v>4.814285714285715</v>
      </c>
      <c r="W38" s="4">
        <v>7.5</v>
      </c>
      <c r="X38" s="7">
        <v>15486</v>
      </c>
      <c r="Y38" s="7">
        <v>2.75</v>
      </c>
      <c r="Z38" s="4">
        <f>W38/2+Y38</f>
        <v>6.5</v>
      </c>
      <c r="AA38" s="7">
        <v>5</v>
      </c>
      <c r="AB38" s="7">
        <v>3.72</v>
      </c>
      <c r="AC38" s="6">
        <f>IF(AND($E38,ISNUMBER($AB38)),$AB38,"")</f>
        <v>3.72</v>
      </c>
      <c r="AD38" s="6" t="str">
        <f>IF(AND(NOT($E38),ISNUMBER($AB38)),$AB38,"")</f>
        <v/>
      </c>
      <c r="AE38" s="4">
        <f>AB38+AA38</f>
        <v>8.72</v>
      </c>
      <c r="AF38" s="7">
        <f>IF(OR($Z38&gt;=4,$AB38&gt;=4,$AA38&gt;=5),1,0)</f>
        <v>1</v>
      </c>
      <c r="AG38" s="7">
        <f>IF(OR($Z38&gt;=4,$AB38&gt;=4,$R38&gt;=10),1,0)</f>
        <v>1</v>
      </c>
      <c r="AH38" s="7">
        <f>IF(OR($Z38&gt;=4,$AB38&gt;=5,$R38&gt;=10),1,0)</f>
        <v>1</v>
      </c>
      <c r="AI38" s="7">
        <f>IF(OR($Z38&gt;=$AI$43,$AB38&gt;=$AI$43,$R38&gt;=10),1,0)</f>
        <v>1</v>
      </c>
      <c r="AJ38" s="7">
        <f>INDIRECT(CONCATENATE($AJ$2,CELL("row",AJ38)))</f>
        <v>1</v>
      </c>
      <c r="AK38" s="7">
        <f>IF(AND(AJ38,E38),1,0)</f>
        <v>1</v>
      </c>
      <c r="AL38" s="7">
        <f>IF(AND(AJ38,NOT(E38)),1,0)</f>
        <v>0</v>
      </c>
      <c r="AM38" s="7">
        <f>IF(AND($AJ38,$E38,$B38=1),1,0)</f>
        <v>1</v>
      </c>
      <c r="AN38" s="7">
        <f>IF(AND($AJ38,NOT($E38),$B38=1),1,0)</f>
        <v>0</v>
      </c>
      <c r="AO38" s="7">
        <f>IF(AND($E38,$B38=1),1,0)</f>
        <v>1</v>
      </c>
      <c r="AP38" s="7">
        <f>IF(AND(NOT($E38),$B38=1),1,0)</f>
        <v>0</v>
      </c>
      <c r="AQ38" s="7">
        <f>IF(AND($E38,$B38=2),1,0)</f>
        <v>0</v>
      </c>
      <c r="AR38" s="7">
        <f>IF(AND($AJ38,$E38,$B38=2),1,0)</f>
        <v>0</v>
      </c>
      <c r="AS38" s="7">
        <f>IF(AND(NOT($E38),$B38=2),1,0)</f>
        <v>0</v>
      </c>
      <c r="AT38" s="7">
        <f>IF(AND($AJ38,NOT($E38),$B38=2),1,0)</f>
        <v>0</v>
      </c>
      <c r="AU38" s="7">
        <f>IF(AND($E38,$B38=3),1,0)</f>
        <v>0</v>
      </c>
      <c r="AV38" s="7">
        <f>IF(AND(NOT($E38),$B38=3),1,0)</f>
        <v>0</v>
      </c>
      <c r="AW38" s="7">
        <f>IF(AND($AJ38,NOT($E38),$B38=3),1,0)</f>
        <v>0</v>
      </c>
    </row>
    <row r="39" spans="1:49" ht="12.75">
      <c r="A39" s="7">
        <v>15487</v>
      </c>
      <c r="B39" s="7">
        <v>1</v>
      </c>
      <c r="C39" s="7">
        <v>1</v>
      </c>
      <c r="D39" s="7">
        <v>1</v>
      </c>
      <c r="E39" s="7">
        <f>IF(AND(C39,D39),1,0)</f>
        <v>1</v>
      </c>
      <c r="F39" s="7">
        <v>15487</v>
      </c>
      <c r="G39" s="4">
        <v>4</v>
      </c>
      <c r="H39" s="4">
        <v>4.5</v>
      </c>
      <c r="I39" s="4">
        <v>2</v>
      </c>
      <c r="J39" s="4">
        <v>5.5</v>
      </c>
      <c r="K39" s="4">
        <v>1.6</v>
      </c>
      <c r="L39" s="4">
        <v>5.1</v>
      </c>
      <c r="M39" s="4">
        <v>2.8</v>
      </c>
      <c r="N39" s="4">
        <v>10</v>
      </c>
      <c r="O39" s="4">
        <v>9</v>
      </c>
      <c r="P39" s="4">
        <v>7</v>
      </c>
      <c r="Q39" s="4">
        <v>8.7</v>
      </c>
      <c r="R39" s="7">
        <v>12</v>
      </c>
      <c r="S39" s="2">
        <f>IF(E39,R39,0)</f>
        <v>12</v>
      </c>
      <c r="T39" s="2">
        <f>IF(NOT(E39),R39,0)</f>
        <v>0</v>
      </c>
      <c r="U39" s="3">
        <f>SUM(G39:Q39)/11</f>
        <v>5.472727272727273</v>
      </c>
      <c r="V39" s="3">
        <f>SUM(G39:Q39)/R39</f>
        <v>5.016666666666667</v>
      </c>
      <c r="W39" s="4">
        <v>2</v>
      </c>
      <c r="X39" s="7">
        <v>15487</v>
      </c>
      <c r="Y39" s="7">
        <v>1.9</v>
      </c>
      <c r="Z39" s="4">
        <f>W39/2+Y39</f>
        <v>2.9</v>
      </c>
      <c r="AA39" s="7">
        <v>5</v>
      </c>
      <c r="AB39" s="7">
        <v>6.84</v>
      </c>
      <c r="AC39" s="6">
        <f>IF(AND($E39,ISNUMBER($AB39)),$AB39,"")</f>
        <v>6.84</v>
      </c>
      <c r="AD39" s="6" t="str">
        <f>IF(AND(NOT($E39),ISNUMBER($AB39)),$AB39,"")</f>
        <v/>
      </c>
      <c r="AE39" s="4">
        <f>AB39+AA39</f>
        <v>11.84</v>
      </c>
      <c r="AF39" s="7">
        <f>IF(OR($Z39&gt;=4,$AB39&gt;=4,$AA39&gt;=5),1,0)</f>
        <v>1</v>
      </c>
      <c r="AG39" s="7">
        <f>IF(OR($Z39&gt;=4,$AB39&gt;=4,$R39&gt;=10),1,0)</f>
        <v>1</v>
      </c>
      <c r="AH39" s="7">
        <f>IF(OR($Z39&gt;=4,$AB39&gt;=5,$R39&gt;=10),1,0)</f>
        <v>1</v>
      </c>
      <c r="AI39" s="7">
        <f>IF(OR($Z39&gt;=$AI$43,$AB39&gt;=$AI$43,$R39&gt;=10),1,0)</f>
        <v>1</v>
      </c>
      <c r="AJ39" s="7">
        <f>INDIRECT(CONCATENATE($AJ$2,CELL("row",AJ39)))</f>
        <v>1</v>
      </c>
      <c r="AK39" s="7">
        <f>IF(AND(AJ39,E39),1,0)</f>
        <v>1</v>
      </c>
      <c r="AL39" s="7">
        <f>IF(AND(AJ39,NOT(E39)),1,0)</f>
        <v>0</v>
      </c>
      <c r="AM39" s="7">
        <f>IF(AND($AJ39,$E39,$B39=1),1,0)</f>
        <v>1</v>
      </c>
      <c r="AN39" s="7">
        <f>IF(AND($AJ39,NOT($E39),$B39=1),1,0)</f>
        <v>0</v>
      </c>
      <c r="AO39" s="7">
        <f>IF(AND($E39,$B39=1),1,0)</f>
        <v>1</v>
      </c>
      <c r="AP39" s="7">
        <f>IF(AND(NOT($E39),$B39=1),1,0)</f>
        <v>0</v>
      </c>
      <c r="AQ39" s="7">
        <f>IF(AND($E39,$B39=2),1,0)</f>
        <v>0</v>
      </c>
      <c r="AR39" s="7">
        <f>IF(AND($AJ39,$E39,$B39=2),1,0)</f>
        <v>0</v>
      </c>
      <c r="AS39" s="7">
        <f>IF(AND(NOT($E39),$B39=2),1,0)</f>
        <v>0</v>
      </c>
      <c r="AT39" s="7">
        <f>IF(AND($AJ39,NOT($E39),$B39=2),1,0)</f>
        <v>0</v>
      </c>
      <c r="AU39" s="7">
        <f>IF(AND($E39,$B39=3),1,0)</f>
        <v>0</v>
      </c>
      <c r="AV39" s="7">
        <f>IF(AND(NOT($E39),$B39=3),1,0)</f>
        <v>0</v>
      </c>
      <c r="AW39" s="7">
        <f>IF(AND($AJ39,NOT($E39),$B39=3),1,0)</f>
        <v>0</v>
      </c>
    </row>
    <row r="40" spans="1:49" ht="12.75">
      <c r="A40" s="7">
        <v>15649</v>
      </c>
      <c r="B40" s="7">
        <v>2</v>
      </c>
      <c r="C40" s="7">
        <v>0</v>
      </c>
      <c r="D40" s="7">
        <v>1</v>
      </c>
      <c r="E40" s="7">
        <f>IF(AND(C40,D40),1,0)</f>
        <v>0</v>
      </c>
      <c r="F40" s="7">
        <v>15649</v>
      </c>
      <c r="G40" s="4">
        <v>6.5</v>
      </c>
      <c r="H40" s="4">
        <v>4</v>
      </c>
      <c r="I40" s="4">
        <v>1</v>
      </c>
      <c r="J40" s="4">
        <v>1.4</v>
      </c>
      <c r="K40" s="4">
        <v>3.9</v>
      </c>
      <c r="L40" s="4">
        <v>4</v>
      </c>
      <c r="M40" s="4">
        <v>2</v>
      </c>
      <c r="N40" s="4">
        <v>3</v>
      </c>
      <c r="O40" s="4">
        <v>4</v>
      </c>
      <c r="P40" s="4">
        <v>2.4</v>
      </c>
      <c r="R40" s="7">
        <v>10</v>
      </c>
      <c r="S40" s="2">
        <f>IF(E40,R40,0)</f>
        <v>0</v>
      </c>
      <c r="T40" s="2">
        <f>IF(NOT(E40),R40,0)</f>
        <v>10</v>
      </c>
      <c r="U40" s="3">
        <f>SUM(G40:Q40)/11</f>
        <v>2.9272727272727277</v>
      </c>
      <c r="V40" s="3">
        <f>SUM(G40:Q40)/R40</f>
        <v>3.22</v>
      </c>
      <c r="W40" s="4">
        <v>4</v>
      </c>
      <c r="X40" s="7">
        <v>15649</v>
      </c>
      <c r="Y40" s="7">
        <v>1.55</v>
      </c>
      <c r="Z40" s="4">
        <f>W40/2+Y40</f>
        <v>3.55</v>
      </c>
      <c r="AA40" s="7">
        <v>3.6</v>
      </c>
      <c r="AB40" s="7">
        <v>3.58</v>
      </c>
      <c r="AC40" s="6" t="str">
        <f>IF(AND($E40,ISNUMBER($AB40)),$AB40,"")</f>
        <v/>
      </c>
      <c r="AD40" s="6">
        <f>IF(AND(NOT($E40),ISNUMBER($AB40)),$AB40,"")</f>
        <v>3.58</v>
      </c>
      <c r="AE40" s="4">
        <f>AB40+AA40</f>
        <v>7.18</v>
      </c>
      <c r="AF40" s="7">
        <f>IF(OR($Z40&gt;=4,$AB40&gt;=4,$AA40&gt;=5),1,0)</f>
        <v>0</v>
      </c>
      <c r="AG40" s="7">
        <f>IF(OR($Z40&gt;=4,$AB40&gt;=4,$R40&gt;=10),1,0)</f>
        <v>1</v>
      </c>
      <c r="AH40" s="7">
        <f>IF(OR($Z40&gt;=4,$AB40&gt;=5,$R40&gt;=10),1,0)</f>
        <v>1</v>
      </c>
      <c r="AI40" s="7">
        <f>IF(OR($Z40&gt;=$AI$43,$AB40&gt;=$AI$43,$R40&gt;=10),1,0)</f>
        <v>1</v>
      </c>
      <c r="AJ40" s="7">
        <f>INDIRECT(CONCATENATE($AJ$2,CELL("row",AJ40)))</f>
        <v>1</v>
      </c>
      <c r="AK40" s="7">
        <f>IF(AND(AJ40,E40),1,0)</f>
        <v>0</v>
      </c>
      <c r="AL40" s="7">
        <f>IF(AND(AJ40,NOT(E40)),1,0)</f>
        <v>1</v>
      </c>
      <c r="AM40" s="7">
        <f>IF(AND($AJ40,$E40,$B40=1),1,0)</f>
        <v>0</v>
      </c>
      <c r="AN40" s="7">
        <f>IF(AND($AJ40,NOT($E40),$B40=1),1,0)</f>
        <v>0</v>
      </c>
      <c r="AO40" s="7">
        <f>IF(AND($E40,$B40=1),1,0)</f>
        <v>0</v>
      </c>
      <c r="AP40" s="7">
        <f>IF(AND(NOT($E40),$B40=1),1,0)</f>
        <v>0</v>
      </c>
      <c r="AQ40" s="7">
        <f>IF(AND($E40,$B40=2),1,0)</f>
        <v>0</v>
      </c>
      <c r="AR40" s="7">
        <f>IF(AND($AJ40,$E40,$B40=2),1,0)</f>
        <v>0</v>
      </c>
      <c r="AS40" s="7">
        <f>IF(AND(NOT($E40),$B40=2),1,0)</f>
        <v>1</v>
      </c>
      <c r="AT40" s="7">
        <f>IF(AND($AJ40,NOT($E40),$B40=2),1,0)</f>
        <v>1</v>
      </c>
      <c r="AU40" s="7">
        <f>IF(AND($E40,$B40=3),1,0)</f>
        <v>0</v>
      </c>
      <c r="AV40" s="7">
        <f>IF(AND(NOT($E40),$B40=3),1,0)</f>
        <v>0</v>
      </c>
      <c r="AW40" s="7">
        <f>IF(AND($AJ40,NOT($E40),$B40=3),1,0)</f>
        <v>0</v>
      </c>
    </row>
    <row r="41" spans="1:49" ht="12.75">
      <c r="A41" s="7">
        <v>16616</v>
      </c>
      <c r="B41" s="7">
        <v>1</v>
      </c>
      <c r="C41" s="7">
        <v>1</v>
      </c>
      <c r="D41" s="7">
        <v>0</v>
      </c>
      <c r="E41" s="7">
        <f>IF(AND(C41,D41),1,0)</f>
        <v>0</v>
      </c>
      <c r="F41" s="7">
        <v>16616</v>
      </c>
      <c r="G41" s="4">
        <v>2</v>
      </c>
      <c r="H41" s="4">
        <v>3</v>
      </c>
      <c r="I41" s="4">
        <v>1.9</v>
      </c>
      <c r="J41" s="4">
        <v>2.8</v>
      </c>
      <c r="L41" s="4"/>
      <c r="M41" s="4"/>
      <c r="N41" s="4"/>
      <c r="O41" s="4"/>
      <c r="P41" s="4"/>
      <c r="Q41" s="4"/>
      <c r="R41" s="7">
        <v>4</v>
      </c>
      <c r="S41" s="2">
        <f>IF(E41,R41,0)</f>
        <v>0</v>
      </c>
      <c r="T41" s="2">
        <f>IF(NOT(E41),R41,0)</f>
        <v>4</v>
      </c>
      <c r="U41" s="3">
        <f>SUM(G41:Q41)/11</f>
        <v>0.8818181818181817</v>
      </c>
      <c r="V41" s="3">
        <f>SUM(G41:Q41)/R41</f>
        <v>2.425</v>
      </c>
      <c r="W41" s="4">
        <v>1</v>
      </c>
      <c r="X41" s="7">
        <v>16616</v>
      </c>
      <c r="Z41" s="4">
        <f>W41/2+Y41</f>
        <v>0.5</v>
      </c>
      <c r="AA41" s="7">
        <v>1.1</v>
      </c>
      <c r="AB41" s="7">
        <v>1.06</v>
      </c>
      <c r="AC41" s="6" t="str">
        <f>IF(AND($E41,ISNUMBER($AB41)),$AB41,"")</f>
        <v/>
      </c>
      <c r="AD41" s="6">
        <f>IF(AND(NOT($E41),ISNUMBER($AB41)),$AB41,"")</f>
        <v>1.06</v>
      </c>
      <c r="AE41" s="4">
        <f>AB41+AA41</f>
        <v>2.16</v>
      </c>
      <c r="AF41" s="7">
        <f>IF(OR($Z41&gt;=4,$AB41&gt;=4,$AA41&gt;=5),1,0)</f>
        <v>0</v>
      </c>
      <c r="AG41" s="7">
        <f>IF(OR($Z41&gt;=4,$AB41&gt;=4,$R41&gt;=10),1,0)</f>
        <v>0</v>
      </c>
      <c r="AH41" s="7">
        <f>IF(OR($Z41&gt;=4,$AB41&gt;=5,$R41&gt;=10),1,0)</f>
        <v>0</v>
      </c>
      <c r="AI41" s="7">
        <f>IF(OR($Z41&gt;=$AI$43,$AB41&gt;=$AI$43,$R41&gt;=10),1,0)</f>
        <v>0</v>
      </c>
      <c r="AJ41" s="7">
        <f>INDIRECT(CONCATENATE($AJ$2,CELL("row",AJ41)))</f>
        <v>0</v>
      </c>
      <c r="AK41" s="7">
        <f>IF(AND(AJ41,E41),1,0)</f>
        <v>0</v>
      </c>
      <c r="AL41" s="7">
        <f>IF(AND(AJ41,NOT(E41)),1,0)</f>
        <v>0</v>
      </c>
      <c r="AM41" s="7">
        <f>IF(AND($AJ41,$E41,$B41=1),1,0)</f>
        <v>0</v>
      </c>
      <c r="AN41" s="7">
        <f>IF(AND($AJ41,NOT($E41),$B41=1),1,0)</f>
        <v>0</v>
      </c>
      <c r="AO41" s="7">
        <f>IF(AND($E41,$B41=1),1,0)</f>
        <v>0</v>
      </c>
      <c r="AP41" s="7">
        <f>IF(AND(NOT($E41),$B41=1),1,0)</f>
        <v>1</v>
      </c>
      <c r="AQ41" s="7">
        <f>IF(AND($E41,$B41=2),1,0)</f>
        <v>0</v>
      </c>
      <c r="AR41" s="7">
        <f>IF(AND($AJ41,$E41,$B41=2),1,0)</f>
        <v>0</v>
      </c>
      <c r="AS41" s="7">
        <f>IF(AND(NOT($E41),$B41=2),1,0)</f>
        <v>0</v>
      </c>
      <c r="AT41" s="7">
        <f>IF(AND($AJ41,NOT($E41),$B41=2),1,0)</f>
        <v>0</v>
      </c>
      <c r="AU41" s="7">
        <f>IF(AND($E41,$B41=3),1,0)</f>
        <v>0</v>
      </c>
      <c r="AV41" s="7">
        <f>IF(AND(NOT($E41),$B41=3),1,0)</f>
        <v>0</v>
      </c>
      <c r="AW41" s="7">
        <f>IF(AND($AJ41,NOT($E41),$B41=3),1,0)</f>
        <v>0</v>
      </c>
    </row>
    <row r="42" spans="1:49" ht="12.75">
      <c r="A42" s="7">
        <v>16658</v>
      </c>
      <c r="B42" s="7">
        <v>1</v>
      </c>
      <c r="C42" s="7">
        <v>0</v>
      </c>
      <c r="D42" s="7">
        <v>0</v>
      </c>
      <c r="E42" s="7">
        <f>IF(AND(C42,D42),1,0)</f>
        <v>0</v>
      </c>
      <c r="F42" s="7">
        <v>16658</v>
      </c>
      <c r="G42" s="4">
        <v>4</v>
      </c>
      <c r="H42" s="4">
        <v>4</v>
      </c>
      <c r="I42" s="4">
        <v>0.5</v>
      </c>
      <c r="J42" s="4">
        <v>4.5</v>
      </c>
      <c r="K42" s="4">
        <v>5.8</v>
      </c>
      <c r="L42" s="4">
        <v>0.5</v>
      </c>
      <c r="M42" s="4">
        <v>2.8</v>
      </c>
      <c r="N42" s="4">
        <v>2</v>
      </c>
      <c r="P42" s="4"/>
      <c r="Q42" s="4"/>
      <c r="R42" s="7">
        <v>8</v>
      </c>
      <c r="S42" s="2">
        <f>IF(E42,R42,0)</f>
        <v>0</v>
      </c>
      <c r="T42" s="2">
        <f>IF(NOT(E42),R42,0)</f>
        <v>8</v>
      </c>
      <c r="U42" s="3">
        <f>SUM(G42:Q42)/11</f>
        <v>2.190909090909091</v>
      </c>
      <c r="V42" s="3">
        <f>SUM(G42:Q42)/R42</f>
        <v>3.0125</v>
      </c>
      <c r="W42" s="4">
        <v>1</v>
      </c>
      <c r="X42" s="7">
        <v>16658</v>
      </c>
      <c r="Z42" s="4">
        <f>W42/2+Y42</f>
        <v>0.5</v>
      </c>
      <c r="AA42" s="7">
        <v>2.7</v>
      </c>
      <c r="AB42" s="7">
        <v>2.66</v>
      </c>
      <c r="AC42" s="6" t="str">
        <f>IF(AND($E42,ISNUMBER($AB42)),$AB42,"")</f>
        <v/>
      </c>
      <c r="AD42" s="6">
        <f>IF(AND(NOT($E42),ISNUMBER($AB42)),$AB42,"")</f>
        <v>2.66</v>
      </c>
      <c r="AE42" s="4">
        <f>AB42+AA42</f>
        <v>5.36</v>
      </c>
      <c r="AF42" s="7">
        <f>IF(OR($Z42&gt;=4,$AB42&gt;=4,$AA42&gt;=5),1,0)</f>
        <v>0</v>
      </c>
      <c r="AG42" s="7">
        <f>IF(OR($Z42&gt;=4,$AB42&gt;=4,$R42&gt;=10),1,0)</f>
        <v>0</v>
      </c>
      <c r="AH42" s="7">
        <f>IF(OR($Z42&gt;=4,$AB42&gt;=5,$R42&gt;=10),1,0)</f>
        <v>0</v>
      </c>
      <c r="AI42" s="7">
        <f>IF(OR($Z42&gt;=$AI$43,$AB42&gt;=$AI$43,$R42&gt;=10),1,0)</f>
        <v>0</v>
      </c>
      <c r="AJ42" s="7">
        <f>INDIRECT(CONCATENATE($AJ$2,CELL("row",AJ42)))</f>
        <v>0</v>
      </c>
      <c r="AK42" s="7">
        <f>IF(AND(AJ42,E42),1,0)</f>
        <v>0</v>
      </c>
      <c r="AL42" s="7">
        <f>IF(AND(AJ42,NOT(E42)),1,0)</f>
        <v>0</v>
      </c>
      <c r="AM42" s="7">
        <f>IF(AND($AJ42,$E42,$B42=1),1,0)</f>
        <v>0</v>
      </c>
      <c r="AN42" s="7">
        <f>IF(AND($AJ42,NOT($E42),$B42=1),1,0)</f>
        <v>0</v>
      </c>
      <c r="AO42" s="7">
        <f>IF(AND($E42,$B42=1),1,0)</f>
        <v>0</v>
      </c>
      <c r="AP42" s="7">
        <f>IF(AND(NOT($E42),$B42=1),1,0)</f>
        <v>1</v>
      </c>
      <c r="AQ42" s="7">
        <f>IF(AND($E42,$B42=2),1,0)</f>
        <v>0</v>
      </c>
      <c r="AR42" s="7">
        <f>IF(AND($AJ42,$E42,$B42=2),1,0)</f>
        <v>0</v>
      </c>
      <c r="AS42" s="7">
        <f>IF(AND(NOT($E42),$B42=2),1,0)</f>
        <v>0</v>
      </c>
      <c r="AT42" s="7">
        <f>IF(AND($AJ42,NOT($E42),$B42=2),1,0)</f>
        <v>0</v>
      </c>
      <c r="AU42" s="7">
        <f>IF(AND($E42,$B42=3),1,0)</f>
        <v>0</v>
      </c>
      <c r="AV42" s="7">
        <f>IF(AND(NOT($E42),$B42=3),1,0)</f>
        <v>0</v>
      </c>
      <c r="AW42" s="7">
        <f>IF(AND($AJ42,NOT($E42),$B42=3),1,0)</f>
        <v>0</v>
      </c>
    </row>
    <row r="43" spans="1:35" ht="12.75">
      <c r="A43" s="7" t="s">
        <v>37</v>
      </c>
      <c r="B43" s="7">
        <f>COUNTIF(B3:B42,"=1")</f>
        <v>33</v>
      </c>
      <c r="AI43" s="7">
        <v>3.5</v>
      </c>
    </row>
    <row r="44" spans="1:2" ht="12.75">
      <c r="A44" s="7" t="s">
        <v>38</v>
      </c>
      <c r="B44" s="7">
        <f>COUNTIF(B3:B42,"=2")</f>
        <v>6</v>
      </c>
    </row>
    <row r="45" spans="1:2" ht="12.75">
      <c r="A45" s="7" t="s">
        <v>39</v>
      </c>
      <c r="B45" s="7">
        <f>COUNTIF(B3:B42,"=3")</f>
        <v>1</v>
      </c>
    </row>
    <row r="46" ht="12.75">
      <c r="B46" s="7">
        <f>SUM(B43:B45)</f>
        <v>40</v>
      </c>
    </row>
  </sheetData>
  <sheetProtection/>
  <printOptions/>
  <pageMargins left="1" right="1" top="1.6666666666666667" bottom="1.6666666666666667" header="1" footer="1"/>
  <pageSetup cellComments="asDisplayed" fitToHeight="0" fitToWidth="0" horizontalDpi="600" verticalDpi="600" orientation="portrait" paperSize="9"/>
  <headerFooter alignWithMargins="0">
    <oddHeader>&amp;C</oddHeader>
    <oddFooter xml:space="preserve">&amp;CPage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55"/>
  <sheetViews>
    <sheetView zoomScaleSheetLayoutView="1" workbookViewId="0" topLeftCell="A31">
      <selection activeCell="B48" sqref="B48"/>
    </sheetView>
  </sheetViews>
  <sheetFormatPr defaultColWidth="9.00390625" defaultRowHeight="12.75"/>
  <cols>
    <col min="1" max="1" width="55.50390625" style="7" bestFit="1" customWidth="1"/>
    <col min="2" max="2" width="12.00390625" style="7" customWidth="1"/>
    <col min="3" max="3" width="10.00390625" style="7" customWidth="1"/>
    <col min="4" max="256" width="9.125" style="7" customWidth="1"/>
  </cols>
  <sheetData>
    <row r="1" spans="1:2" ht="12.75">
      <c r="A1" s="7" t="s">
        <v>40</v>
      </c>
      <c r="B1" s="7">
        <f>datos!A1</f>
        <v>40</v>
      </c>
    </row>
    <row r="2" spans="1:3" ht="12.75">
      <c r="A2" s="7" t="s">
        <v>41</v>
      </c>
      <c r="B2" s="7">
        <f>datos!B43</f>
        <v>33</v>
      </c>
      <c r="C2" s="12">
        <f>B2/$B$1</f>
        <v>0.825</v>
      </c>
    </row>
    <row r="3" spans="1:3" ht="12.75">
      <c r="A3" s="7" t="s">
        <v>42</v>
      </c>
      <c r="B3" s="7">
        <f>datos!B44</f>
        <v>6</v>
      </c>
      <c r="C3" s="12">
        <f>B3/$B$1</f>
        <v>0.15</v>
      </c>
    </row>
    <row r="4" spans="1:3" ht="12.75">
      <c r="A4" s="7" t="s">
        <v>43</v>
      </c>
      <c r="B4" s="7">
        <f>datos!B45</f>
        <v>1</v>
      </c>
      <c r="C4" s="12">
        <f>B4/$B$1</f>
        <v>0.025</v>
      </c>
    </row>
    <row r="6" spans="1:256" ht="12.75">
      <c r="A6" s="9" t="str">
        <f>CONCATENATE("Alumnado que cursa por primera vez (",ROUND(C2*100,1),"% de la muestra)")</f>
        <v>Alumnado que cursa por primera vez (82,5% de la muestra)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  <c r="IH6" s="11"/>
      <c r="II6" s="11"/>
      <c r="IJ6" s="11"/>
      <c r="IK6" s="11"/>
      <c r="IL6" s="11"/>
      <c r="IM6" s="11"/>
      <c r="IN6" s="11"/>
      <c r="IO6" s="11"/>
      <c r="IP6" s="11"/>
      <c r="IQ6" s="11"/>
      <c r="IR6" s="11"/>
      <c r="IS6" s="11"/>
      <c r="IT6" s="11"/>
      <c r="IU6" s="11"/>
      <c r="IV6" s="11"/>
    </row>
    <row r="7" spans="1:2" ht="12.75">
      <c r="A7" s="7" t="s">
        <v>44</v>
      </c>
      <c r="B7" s="7">
        <f>datos!AO1</f>
        <v>19</v>
      </c>
    </row>
    <row r="8" spans="1:3" ht="12.75">
      <c r="A8" s="7" t="s">
        <v>45</v>
      </c>
      <c r="B8" s="7">
        <f>datos!AM1</f>
        <v>15</v>
      </c>
      <c r="C8" s="12">
        <f>B8/$B$7</f>
        <v>0.7894736842105263</v>
      </c>
    </row>
    <row r="9" spans="1:256" ht="12.75">
      <c r="A9" s="11" t="s">
        <v>46</v>
      </c>
      <c r="B9" s="11">
        <f>B7-B8</f>
        <v>4</v>
      </c>
      <c r="C9" s="8">
        <f>B9/$B$7</f>
        <v>0.21052631578947367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  <c r="IG9" s="11"/>
      <c r="IH9" s="11"/>
      <c r="II9" s="11"/>
      <c r="IJ9" s="11"/>
      <c r="IK9" s="11"/>
      <c r="IL9" s="11"/>
      <c r="IM9" s="11"/>
      <c r="IN9" s="11"/>
      <c r="IO9" s="11"/>
      <c r="IP9" s="11"/>
      <c r="IQ9" s="11"/>
      <c r="IR9" s="11"/>
      <c r="IS9" s="11"/>
      <c r="IT9" s="11"/>
      <c r="IU9" s="11"/>
      <c r="IV9" s="11"/>
    </row>
    <row r="10" spans="1:3" ht="12.75">
      <c r="A10" s="7" t="s">
        <v>47</v>
      </c>
      <c r="B10" s="7">
        <f>datos!AP1</f>
        <v>14</v>
      </c>
      <c r="C10" s="12"/>
    </row>
    <row r="11" spans="1:3" ht="12.75">
      <c r="A11" s="7" t="s">
        <v>45</v>
      </c>
      <c r="B11" s="7">
        <f>datos!AN1</f>
        <v>6</v>
      </c>
      <c r="C11" s="12">
        <f>B11/$B$10</f>
        <v>0.42857142857142855</v>
      </c>
    </row>
    <row r="12" spans="1:256" ht="12.75">
      <c r="A12" s="11" t="s">
        <v>46</v>
      </c>
      <c r="B12" s="11">
        <f>B10-B11</f>
        <v>8</v>
      </c>
      <c r="C12" s="8">
        <f>B12/$B$10</f>
        <v>0.5714285714285714</v>
      </c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  <c r="IJ12" s="11"/>
      <c r="IK12" s="11"/>
      <c r="IL12" s="11"/>
      <c r="IM12" s="11"/>
      <c r="IN12" s="11"/>
      <c r="IO12" s="11"/>
      <c r="IP12" s="11"/>
      <c r="IQ12" s="11"/>
      <c r="IR12" s="11"/>
      <c r="IS12" s="11"/>
      <c r="IT12" s="11"/>
      <c r="IU12" s="11"/>
      <c r="IV12" s="11"/>
    </row>
    <row r="15" spans="1:256" ht="12.75">
      <c r="A15" s="9" t="s">
        <v>48</v>
      </c>
      <c r="B15" s="11">
        <f>B16+B17</f>
        <v>40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1"/>
      <c r="GX15" s="11"/>
      <c r="GY15" s="11"/>
      <c r="GZ15" s="11"/>
      <c r="HA15" s="11"/>
      <c r="HB15" s="11"/>
      <c r="HC15" s="11"/>
      <c r="HD15" s="11"/>
      <c r="HE15" s="11"/>
      <c r="HF15" s="11"/>
      <c r="HG15" s="11"/>
      <c r="HH15" s="11"/>
      <c r="HI15" s="11"/>
      <c r="HJ15" s="11"/>
      <c r="HK15" s="11"/>
      <c r="HL15" s="11"/>
      <c r="HM15" s="11"/>
      <c r="HN15" s="11"/>
      <c r="HO15" s="11"/>
      <c r="HP15" s="11"/>
      <c r="HQ15" s="11"/>
      <c r="HR15" s="11"/>
      <c r="HS15" s="11"/>
      <c r="HT15" s="11"/>
      <c r="HU15" s="11"/>
      <c r="HV15" s="11"/>
      <c r="HW15" s="11"/>
      <c r="HX15" s="11"/>
      <c r="HY15" s="11"/>
      <c r="HZ15" s="11"/>
      <c r="IA15" s="11"/>
      <c r="IB15" s="11"/>
      <c r="IC15" s="11"/>
      <c r="ID15" s="11"/>
      <c r="IE15" s="11"/>
      <c r="IF15" s="11"/>
      <c r="IG15" s="11"/>
      <c r="IH15" s="11"/>
      <c r="II15" s="11"/>
      <c r="IJ15" s="11"/>
      <c r="IK15" s="11"/>
      <c r="IL15" s="11"/>
      <c r="IM15" s="11"/>
      <c r="IN15" s="11"/>
      <c r="IO15" s="11"/>
      <c r="IP15" s="11"/>
      <c r="IQ15" s="11"/>
      <c r="IR15" s="11"/>
      <c r="IS15" s="11"/>
      <c r="IT15" s="11"/>
      <c r="IU15" s="11"/>
      <c r="IV15" s="11"/>
    </row>
    <row r="16" spans="1:3" ht="12.75">
      <c r="A16" s="7" t="s">
        <v>45</v>
      </c>
      <c r="B16" s="7">
        <f>B19+B22</f>
        <v>27</v>
      </c>
      <c r="C16" s="12">
        <f>B16/$B$15</f>
        <v>0.675</v>
      </c>
    </row>
    <row r="17" spans="1:256" ht="12.75">
      <c r="A17" s="11" t="s">
        <v>46</v>
      </c>
      <c r="B17" s="11">
        <f>B20+B23</f>
        <v>13</v>
      </c>
      <c r="C17" s="8">
        <f>B17/$B$15</f>
        <v>0.325</v>
      </c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  <c r="HO17" s="11"/>
      <c r="HP17" s="11"/>
      <c r="HQ17" s="11"/>
      <c r="HR17" s="11"/>
      <c r="HS17" s="11"/>
      <c r="HT17" s="11"/>
      <c r="HU17" s="11"/>
      <c r="HV17" s="11"/>
      <c r="HW17" s="11"/>
      <c r="HX17" s="11"/>
      <c r="HY17" s="11"/>
      <c r="HZ17" s="11"/>
      <c r="IA17" s="11"/>
      <c r="IB17" s="11"/>
      <c r="IC17" s="11"/>
      <c r="ID17" s="11"/>
      <c r="IE17" s="11"/>
      <c r="IF17" s="11"/>
      <c r="IG17" s="11"/>
      <c r="IH17" s="11"/>
      <c r="II17" s="11"/>
      <c r="IJ17" s="11"/>
      <c r="IK17" s="11"/>
      <c r="IL17" s="11"/>
      <c r="IM17" s="11"/>
      <c r="IN17" s="11"/>
      <c r="IO17" s="11"/>
      <c r="IP17" s="11"/>
      <c r="IQ17" s="11"/>
      <c r="IR17" s="11"/>
      <c r="IS17" s="11"/>
      <c r="IT17" s="11"/>
      <c r="IU17" s="11"/>
      <c r="IV17" s="11"/>
    </row>
    <row r="18" spans="1:2" ht="12.75">
      <c r="A18" s="7" t="s">
        <v>44</v>
      </c>
      <c r="B18" s="7">
        <f>datos!E1</f>
        <v>20</v>
      </c>
    </row>
    <row r="19" spans="1:3" ht="12.75">
      <c r="A19" s="7" t="s">
        <v>45</v>
      </c>
      <c r="B19" s="7">
        <f>datos!AK1</f>
        <v>16</v>
      </c>
      <c r="C19" s="12">
        <f>B19/$B$18</f>
        <v>0.8</v>
      </c>
    </row>
    <row r="20" spans="1:256" ht="12.75">
      <c r="A20" s="11" t="s">
        <v>46</v>
      </c>
      <c r="B20" s="11">
        <f>B18-B19</f>
        <v>4</v>
      </c>
      <c r="C20" s="8">
        <f>B20/$B$18</f>
        <v>0.2</v>
      </c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1"/>
      <c r="GR20" s="11"/>
      <c r="GS20" s="11"/>
      <c r="GT20" s="11"/>
      <c r="GU20" s="11"/>
      <c r="GV20" s="11"/>
      <c r="GW20" s="11"/>
      <c r="GX20" s="11"/>
      <c r="GY20" s="11"/>
      <c r="GZ20" s="11"/>
      <c r="HA20" s="11"/>
      <c r="HB20" s="11"/>
      <c r="HC20" s="11"/>
      <c r="HD20" s="11"/>
      <c r="HE20" s="11"/>
      <c r="HF20" s="11"/>
      <c r="HG20" s="11"/>
      <c r="HH20" s="11"/>
      <c r="HI20" s="11"/>
      <c r="HJ20" s="11"/>
      <c r="HK20" s="11"/>
      <c r="HL20" s="11"/>
      <c r="HM20" s="11"/>
      <c r="HN20" s="11"/>
      <c r="HO20" s="11"/>
      <c r="HP20" s="11"/>
      <c r="HQ20" s="11"/>
      <c r="HR20" s="11"/>
      <c r="HS20" s="11"/>
      <c r="HT20" s="11"/>
      <c r="HU20" s="11"/>
      <c r="HV20" s="11"/>
      <c r="HW20" s="11"/>
      <c r="HX20" s="11"/>
      <c r="HY20" s="11"/>
      <c r="HZ20" s="11"/>
      <c r="IA20" s="11"/>
      <c r="IB20" s="11"/>
      <c r="IC20" s="11"/>
      <c r="ID20" s="11"/>
      <c r="IE20" s="11"/>
      <c r="IF20" s="11"/>
      <c r="IG20" s="11"/>
      <c r="IH20" s="11"/>
      <c r="II20" s="11"/>
      <c r="IJ20" s="11"/>
      <c r="IK20" s="11"/>
      <c r="IL20" s="11"/>
      <c r="IM20" s="11"/>
      <c r="IN20" s="11"/>
      <c r="IO20" s="11"/>
      <c r="IP20" s="11"/>
      <c r="IQ20" s="11"/>
      <c r="IR20" s="11"/>
      <c r="IS20" s="11"/>
      <c r="IT20" s="11"/>
      <c r="IU20" s="11"/>
      <c r="IV20" s="11"/>
    </row>
    <row r="21" spans="1:3" ht="12.75">
      <c r="A21" s="7" t="s">
        <v>47</v>
      </c>
      <c r="B21" s="7">
        <f>B1-B18</f>
        <v>20</v>
      </c>
      <c r="C21" s="12"/>
    </row>
    <row r="22" spans="1:3" ht="12.75">
      <c r="A22" s="7" t="s">
        <v>45</v>
      </c>
      <c r="B22" s="7">
        <f>datos!AL1</f>
        <v>11</v>
      </c>
      <c r="C22" s="12">
        <f>B22/$B$21</f>
        <v>0.55</v>
      </c>
    </row>
    <row r="23" spans="1:3" ht="12.75">
      <c r="A23" s="7" t="s">
        <v>46</v>
      </c>
      <c r="B23" s="7">
        <f>B21-B22</f>
        <v>9</v>
      </c>
      <c r="C23" s="12">
        <f>B23/$B$21</f>
        <v>0.45</v>
      </c>
    </row>
    <row r="24" spans="1:3" ht="12.75">
      <c r="A24" s="7" t="s">
        <v>49</v>
      </c>
      <c r="B24" s="7">
        <f>(B15+B17+B3+2*B4)/B15</f>
        <v>1.525</v>
      </c>
      <c r="C24" s="12"/>
    </row>
    <row r="25" spans="2:3" ht="12.75">
      <c r="B25" s="7">
        <f>(B27+2*B28+2*B29+3*B30+4*B32)/B33</f>
        <v>1.525</v>
      </c>
      <c r="C25" s="12"/>
    </row>
    <row r="26" spans="1:3" ht="12.75">
      <c r="A26" s="7" t="s">
        <v>50</v>
      </c>
      <c r="B26" s="6">
        <f>(B27+B28*(1+precios!C6)+B29*(1+precios!C6)+B30*(1+precios!C6+precios!D6)+B32*(1+precios!C6+precios!D6+precios!E6))/B33</f>
        <v>2.0841003394945306</v>
      </c>
      <c r="C26" s="12"/>
    </row>
    <row r="27" spans="1:3" ht="12.75">
      <c r="A27" s="7" t="s">
        <v>51</v>
      </c>
      <c r="B27" s="7">
        <f>datos!AM1+datos!AN1</f>
        <v>21</v>
      </c>
      <c r="C27" s="12"/>
    </row>
    <row r="28" spans="1:3" ht="12.75">
      <c r="A28" s="7" t="s">
        <v>52</v>
      </c>
      <c r="B28" s="7">
        <f>B2-B27</f>
        <v>12</v>
      </c>
      <c r="C28" s="12"/>
    </row>
    <row r="29" spans="1:3" ht="12.75">
      <c r="A29" s="7" t="s">
        <v>53</v>
      </c>
      <c r="B29" s="7">
        <f>datos!AR1+datos!AT1</f>
        <v>6</v>
      </c>
      <c r="C29" s="12"/>
    </row>
    <row r="30" spans="1:3" ht="12.75">
      <c r="A30" s="7" t="s">
        <v>54</v>
      </c>
      <c r="B30" s="7">
        <f>B3-B29</f>
        <v>0</v>
      </c>
      <c r="C30" s="12"/>
    </row>
    <row r="31" spans="1:3" ht="12.75">
      <c r="A31" s="7" t="s">
        <v>55</v>
      </c>
      <c r="B31" s="7">
        <f>datos!AW1</f>
        <v>0</v>
      </c>
      <c r="C31" s="12"/>
    </row>
    <row r="32" spans="1:3" ht="12.75">
      <c r="A32" s="7" t="s">
        <v>56</v>
      </c>
      <c r="B32" s="7">
        <f>B4-B31</f>
        <v>1</v>
      </c>
      <c r="C32" s="12"/>
    </row>
    <row r="33" spans="1:3" ht="12.75">
      <c r="A33" s="7" t="s">
        <v>48</v>
      </c>
      <c r="B33" s="7">
        <f>SUM(B27:B32)</f>
        <v>40</v>
      </c>
      <c r="C33" s="12"/>
    </row>
    <row r="35" spans="1:3" ht="12.75">
      <c r="A35" s="7" t="s">
        <v>57</v>
      </c>
      <c r="C35" s="12">
        <f>C16</f>
        <v>0.675</v>
      </c>
    </row>
    <row r="36" spans="1:3" ht="12.75">
      <c r="A36" s="7" t="s">
        <v>58</v>
      </c>
      <c r="B36" s="10" t="s">
        <v>59</v>
      </c>
      <c r="C36" s="12">
        <f>C19</f>
        <v>0.8</v>
      </c>
    </row>
    <row r="38" spans="1:2" ht="12.75">
      <c r="A38" s="7" t="s">
        <v>60</v>
      </c>
      <c r="B38" s="7">
        <f>B1</f>
        <v>40</v>
      </c>
    </row>
    <row r="39" spans="1:3" ht="12.75">
      <c r="A39" s="7" t="s">
        <v>61</v>
      </c>
      <c r="B39" s="7">
        <f>datos!B43+0.5*datos!B44+0.3*datos!B45</f>
        <v>36.3</v>
      </c>
      <c r="C39" s="12">
        <f>B39/B38</f>
        <v>0.9075</v>
      </c>
    </row>
    <row r="40" spans="1:3" ht="12.75">
      <c r="A40" s="7" t="s">
        <v>62</v>
      </c>
      <c r="B40" s="7">
        <f>B18</f>
        <v>20</v>
      </c>
      <c r="C40" s="12"/>
    </row>
    <row r="41" spans="1:3" ht="12.75">
      <c r="A41" s="7" t="s">
        <v>61</v>
      </c>
      <c r="B41" s="7">
        <f>datos!AO1+0.5*datos!AQ1</f>
        <v>19.5</v>
      </c>
      <c r="C41" s="12">
        <f>B41/B40</f>
        <v>0.975</v>
      </c>
    </row>
    <row r="44" spans="1:2" ht="12.75">
      <c r="A44" s="7" t="s">
        <v>63</v>
      </c>
      <c r="B44" s="7">
        <f>B18</f>
        <v>20</v>
      </c>
    </row>
    <row r="45" spans="1:3" ht="12.75">
      <c r="A45" s="7" t="s">
        <v>64</v>
      </c>
      <c r="B45" s="7">
        <f>datos!AO1</f>
        <v>19</v>
      </c>
      <c r="C45" s="12">
        <f>B45/B44</f>
        <v>0.95</v>
      </c>
    </row>
    <row r="46" spans="1:3" ht="12.75">
      <c r="A46" s="7" t="s">
        <v>65</v>
      </c>
      <c r="B46" s="7">
        <f>datos!AQ1</f>
        <v>1</v>
      </c>
      <c r="C46" s="12">
        <f>B46/B44</f>
        <v>0.05</v>
      </c>
    </row>
    <row r="47" spans="1:2" ht="12.75">
      <c r="A47" s="7" t="s">
        <v>66</v>
      </c>
      <c r="B47" s="7">
        <v>0</v>
      </c>
    </row>
    <row r="48" spans="1:4" ht="12.75">
      <c r="A48" s="7" t="s">
        <v>67</v>
      </c>
      <c r="B48" s="7">
        <f>B20</f>
        <v>4</v>
      </c>
      <c r="C48" s="12">
        <f>B48/B44</f>
        <v>0.2</v>
      </c>
      <c r="D48" s="12">
        <f>(B44-B48)/B44</f>
        <v>0.8</v>
      </c>
    </row>
    <row r="49" spans="1:2" ht="12.75">
      <c r="A49" s="7" t="s">
        <v>49</v>
      </c>
      <c r="B49" s="6">
        <f>(B45+2*B46+B48)/B44</f>
        <v>1.25</v>
      </c>
    </row>
    <row r="50" spans="1:2" ht="12.75">
      <c r="A50" s="7" t="s">
        <v>50</v>
      </c>
      <c r="B50" s="6">
        <f>(B51+B52*(1+precios!C6)+B53*(1+precios!C6))/B44</f>
        <v>1.4606752168992834</v>
      </c>
    </row>
    <row r="51" spans="1:2" ht="12.75">
      <c r="A51" s="7" t="s">
        <v>26</v>
      </c>
      <c r="B51" s="7">
        <f>datos!AM1</f>
        <v>15</v>
      </c>
    </row>
    <row r="52" spans="1:2" ht="12.75">
      <c r="A52" s="7" t="s">
        <v>31</v>
      </c>
      <c r="B52" s="7">
        <f>datos!AR1</f>
        <v>1</v>
      </c>
    </row>
    <row r="53" spans="1:2" ht="12.75">
      <c r="A53" s="7" t="s">
        <v>68</v>
      </c>
      <c r="B53" s="7">
        <f>datos!AO1-datos!AM1</f>
        <v>4</v>
      </c>
    </row>
    <row r="54" ht="12.75">
      <c r="A54" s="7" t="s">
        <v>31</v>
      </c>
    </row>
    <row r="55" ht="12.75">
      <c r="B55" s="7">
        <f>SUM(B51:B53)</f>
        <v>20</v>
      </c>
    </row>
  </sheetData>
  <sheetProtection/>
  <printOptions/>
  <pageMargins left="1" right="1" top="1.6666666666666667" bottom="1.6666666666666667" header="1" footer="1"/>
  <pageSetup cellComments="asDisplayed" fitToHeight="0" fitToWidth="0" horizontalDpi="600" verticalDpi="600" orientation="portrait" paperSize="9"/>
  <headerFooter alignWithMargins="0">
    <oddHeader>&amp;C</oddHeader>
    <oddFooter xml:space="preserve">&amp;CPage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F6"/>
  <sheetViews>
    <sheetView zoomScaleSheetLayoutView="1" workbookViewId="0" topLeftCell="A1">
      <selection activeCell="E14" sqref="E14"/>
    </sheetView>
  </sheetViews>
  <sheetFormatPr defaultColWidth="9.00390625" defaultRowHeight="12.75"/>
  <cols>
    <col min="1" max="2" width="9.125" style="7" customWidth="1"/>
    <col min="3" max="3" width="19.50390625" style="7" bestFit="1" customWidth="1"/>
    <col min="4" max="4" width="20.75390625" style="7" bestFit="1" customWidth="1"/>
    <col min="5" max="5" width="19.50390625" style="7" bestFit="1" customWidth="1"/>
    <col min="6" max="256" width="9.125" style="7" customWidth="1"/>
  </cols>
  <sheetData>
    <row r="2" spans="1:6" ht="12.75">
      <c r="A2" s="7" t="s">
        <v>69</v>
      </c>
      <c r="B2" s="7" t="s">
        <v>70</v>
      </c>
      <c r="C2" s="7" t="s">
        <v>71</v>
      </c>
      <c r="D2" s="7" t="s">
        <v>72</v>
      </c>
      <c r="E2" s="7" t="s">
        <v>73</v>
      </c>
      <c r="F2" s="7" t="s">
        <v>74</v>
      </c>
    </row>
    <row r="3" spans="1:5" ht="12.75">
      <c r="A3" s="7">
        <v>1</v>
      </c>
      <c r="B3" s="7">
        <v>28.22</v>
      </c>
      <c r="C3" s="7">
        <v>51.85</v>
      </c>
      <c r="D3" s="7">
        <v>98.75</v>
      </c>
      <c r="E3" s="7">
        <v>136.44</v>
      </c>
    </row>
    <row r="4" spans="1:5" ht="12.75">
      <c r="A4" s="7">
        <v>2</v>
      </c>
      <c r="B4" s="7">
        <v>26.51</v>
      </c>
      <c r="C4" s="7">
        <v>48.85</v>
      </c>
      <c r="D4" s="7">
        <v>92.86</v>
      </c>
      <c r="E4" s="7">
        <v>128.57</v>
      </c>
    </row>
    <row r="5" spans="1:5" ht="12.75">
      <c r="A5" s="7">
        <v>3</v>
      </c>
      <c r="B5" s="7">
        <v>23.09</v>
      </c>
      <c r="C5" s="7">
        <v>43.21</v>
      </c>
      <c r="D5" s="7">
        <v>82.3</v>
      </c>
      <c r="E5" s="7">
        <v>113.71</v>
      </c>
    </row>
    <row r="6" spans="1:5" ht="12.75">
      <c r="A6" s="7" t="s">
        <v>75</v>
      </c>
      <c r="B6" s="7">
        <f>B4/$B$4</f>
        <v>1</v>
      </c>
      <c r="C6" s="4">
        <f>C4/$B$4</f>
        <v>1.842700867597133</v>
      </c>
      <c r="D6" s="4">
        <f>D4/$B$4</f>
        <v>3.5028291210863824</v>
      </c>
      <c r="E6" s="4">
        <f>E4/$B$4</f>
        <v>4.849867974349301</v>
      </c>
    </row>
  </sheetData>
  <sheetProtection/>
  <printOptions/>
  <pageMargins left="1" right="1" top="1.6666666666666667" bottom="1.6666666666666667" header="1" footer="1"/>
  <pageSetup cellComments="asDisplayed" fitToHeight="0" fitToWidth="0" horizontalDpi="600" verticalDpi="600" orientation="portrait" paperSize="9"/>
  <headerFooter alignWithMargins="0">
    <oddHeader>&amp;C</oddHeader>
    <oddFooter xml:space="preserve">&amp;CPage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40"/>
  <sheetViews>
    <sheetView zoomScaleSheetLayoutView="1" workbookViewId="0" topLeftCell="A1">
      <selection activeCell="C2" sqref="C2"/>
    </sheetView>
  </sheetViews>
  <sheetFormatPr defaultColWidth="9.00390625" defaultRowHeight="12.75"/>
  <cols>
    <col min="1" max="256" width="9.125" style="7" customWidth="1"/>
  </cols>
  <sheetData>
    <row r="1" spans="1:2" ht="12.75">
      <c r="A1" s="7">
        <v>11430</v>
      </c>
      <c r="B1" s="7">
        <v>11430</v>
      </c>
    </row>
    <row r="2" ht="12.75">
      <c r="A2" s="7">
        <v>13210</v>
      </c>
    </row>
    <row r="3" spans="1:2" ht="12.75">
      <c r="A3" s="7">
        <v>14017</v>
      </c>
      <c r="B3" s="7">
        <v>14017</v>
      </c>
    </row>
    <row r="4" spans="1:2" ht="12.75">
      <c r="A4" s="7">
        <v>14075</v>
      </c>
      <c r="B4" s="7">
        <v>14075</v>
      </c>
    </row>
    <row r="5" spans="1:2" ht="12.75">
      <c r="A5" s="7">
        <v>14134</v>
      </c>
      <c r="B5" s="7">
        <v>14134</v>
      </c>
    </row>
    <row r="6" spans="1:7" ht="12.75">
      <c r="A6" s="7">
        <v>14337</v>
      </c>
      <c r="B6" s="7">
        <v>14337</v>
      </c>
      <c r="G6" s="7">
        <v>13210</v>
      </c>
    </row>
    <row r="7" spans="1:7" ht="12.75">
      <c r="A7" s="7">
        <v>15003</v>
      </c>
      <c r="B7" s="7">
        <v>15003</v>
      </c>
      <c r="G7" s="7">
        <v>15451</v>
      </c>
    </row>
    <row r="8" spans="1:7" ht="12.75">
      <c r="A8" s="7">
        <v>15009</v>
      </c>
      <c r="B8" s="7">
        <v>15009</v>
      </c>
      <c r="G8" s="7">
        <v>15477</v>
      </c>
    </row>
    <row r="9" spans="1:2" ht="12.75">
      <c r="A9" s="7">
        <v>15017</v>
      </c>
      <c r="B9" s="7">
        <v>15017</v>
      </c>
    </row>
    <row r="10" spans="1:2" ht="12.75">
      <c r="A10" s="7">
        <v>15054</v>
      </c>
      <c r="B10" s="7">
        <v>15054</v>
      </c>
    </row>
    <row r="11" spans="1:2" ht="12.75">
      <c r="A11" s="7">
        <v>15068</v>
      </c>
      <c r="B11" s="7">
        <v>15068</v>
      </c>
    </row>
    <row r="12" spans="1:2" ht="12.75">
      <c r="A12" s="7">
        <v>15085</v>
      </c>
      <c r="B12" s="7">
        <v>15085</v>
      </c>
    </row>
    <row r="13" spans="1:2" ht="12.75">
      <c r="A13" s="7">
        <v>15118</v>
      </c>
      <c r="B13" s="7">
        <v>15118</v>
      </c>
    </row>
    <row r="14" spans="1:2" ht="12.75">
      <c r="A14" s="7">
        <v>15132</v>
      </c>
      <c r="B14" s="7">
        <v>15132</v>
      </c>
    </row>
    <row r="15" spans="1:2" ht="12.75">
      <c r="A15" s="7">
        <v>15160</v>
      </c>
      <c r="B15" s="7">
        <v>15160</v>
      </c>
    </row>
    <row r="16" spans="1:2" ht="12.75">
      <c r="A16" s="7">
        <v>15161</v>
      </c>
      <c r="B16" s="7">
        <v>15161</v>
      </c>
    </row>
    <row r="17" spans="1:2" ht="12.75">
      <c r="A17" s="7">
        <v>15176</v>
      </c>
      <c r="B17" s="7">
        <v>15176</v>
      </c>
    </row>
    <row r="18" spans="1:2" ht="12.75">
      <c r="A18" s="7">
        <v>15289</v>
      </c>
      <c r="B18" s="7">
        <v>15283</v>
      </c>
    </row>
    <row r="19" spans="1:2" ht="12.75">
      <c r="A19" s="7">
        <v>15294</v>
      </c>
      <c r="B19" s="7">
        <v>15289</v>
      </c>
    </row>
    <row r="20" spans="1:2" ht="12.75">
      <c r="A20" s="7">
        <v>15295</v>
      </c>
      <c r="B20" s="7">
        <v>15294</v>
      </c>
    </row>
    <row r="21" spans="1:2" ht="12.75">
      <c r="A21" s="7">
        <v>15319</v>
      </c>
      <c r="B21" s="7">
        <v>15319</v>
      </c>
    </row>
    <row r="22" spans="1:2" ht="12.75">
      <c r="A22" s="7">
        <v>15335</v>
      </c>
      <c r="B22" s="7">
        <v>15335</v>
      </c>
    </row>
    <row r="23" spans="1:2" ht="12.75">
      <c r="A23" s="7">
        <v>15339</v>
      </c>
      <c r="B23" s="7">
        <v>15339</v>
      </c>
    </row>
    <row r="24" spans="1:2" ht="12.75">
      <c r="A24" s="7">
        <v>15342</v>
      </c>
      <c r="B24" s="7">
        <v>15342</v>
      </c>
    </row>
    <row r="25" spans="1:2" ht="12.75">
      <c r="A25" s="7">
        <v>15394</v>
      </c>
      <c r="B25" s="7">
        <v>15394</v>
      </c>
    </row>
    <row r="26" spans="1:2" ht="12.75">
      <c r="A26" s="7">
        <v>15395</v>
      </c>
      <c r="B26" s="7">
        <v>15395</v>
      </c>
    </row>
    <row r="27" spans="1:2" ht="12.75">
      <c r="A27" s="7">
        <v>15396</v>
      </c>
      <c r="B27" s="7">
        <v>15396</v>
      </c>
    </row>
    <row r="28" spans="1:2" ht="12.75">
      <c r="A28" s="7">
        <v>15409</v>
      </c>
      <c r="B28" s="7">
        <v>15409</v>
      </c>
    </row>
    <row r="29" spans="1:2" ht="12.75">
      <c r="A29" s="7">
        <v>15424</v>
      </c>
      <c r="B29" s="7">
        <v>15424</v>
      </c>
    </row>
    <row r="30" ht="12.75">
      <c r="A30" s="7">
        <v>15451</v>
      </c>
    </row>
    <row r="31" spans="1:2" ht="12.75">
      <c r="A31" s="7">
        <v>15454</v>
      </c>
      <c r="B31" s="7">
        <v>15454</v>
      </c>
    </row>
    <row r="32" spans="1:2" ht="12.75">
      <c r="A32" s="7">
        <v>15457</v>
      </c>
      <c r="B32" s="7">
        <v>15457</v>
      </c>
    </row>
    <row r="33" ht="12.75">
      <c r="A33" s="7">
        <v>15477</v>
      </c>
    </row>
    <row r="34" spans="1:2" ht="12.75">
      <c r="A34" s="7">
        <v>15482</v>
      </c>
      <c r="B34" s="7">
        <v>15482</v>
      </c>
    </row>
    <row r="35" spans="1:2" ht="12.75">
      <c r="A35" s="7">
        <v>15484</v>
      </c>
      <c r="B35" s="7">
        <v>15484</v>
      </c>
    </row>
    <row r="36" spans="1:2" ht="12.75">
      <c r="A36" s="7">
        <v>15486</v>
      </c>
      <c r="B36" s="7">
        <v>15486</v>
      </c>
    </row>
    <row r="37" spans="1:2" ht="12.75">
      <c r="A37" s="7">
        <v>15487</v>
      </c>
      <c r="B37" s="7">
        <v>15487</v>
      </c>
    </row>
    <row r="38" spans="1:2" ht="12.75">
      <c r="A38" s="7">
        <v>15649</v>
      </c>
      <c r="B38" s="7">
        <v>15649</v>
      </c>
    </row>
    <row r="39" spans="1:2" ht="12.75">
      <c r="A39" s="7">
        <v>16616</v>
      </c>
      <c r="B39" s="7">
        <v>16616</v>
      </c>
    </row>
    <row r="40" spans="1:2" ht="12.75">
      <c r="A40" s="7">
        <v>16658</v>
      </c>
      <c r="B40" s="7">
        <v>16658</v>
      </c>
    </row>
  </sheetData>
  <sheetProtection/>
  <printOptions/>
  <pageMargins left="1" right="1" top="1.6666666666666667" bottom="1.6666666666666667" header="1" footer="1"/>
  <pageSetup cellComments="asDisplayed" fitToHeight="0" fitToWidth="0" horizontalDpi="600" verticalDpi="600" orientation="portrait" paperSize="9"/>
  <headerFooter alignWithMargins="0">
    <oddHeader>&amp;C</oddHeader>
    <oddFooter xml:space="preserve">&amp;CPage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40"/>
  <sheetViews>
    <sheetView zoomScaleSheetLayoutView="1" workbookViewId="0" topLeftCell="A20">
      <selection activeCell="E1" sqref="E1:E40"/>
    </sheetView>
  </sheetViews>
  <sheetFormatPr defaultColWidth="9.00390625" defaultRowHeight="12.75"/>
  <cols>
    <col min="1" max="256" width="9.125" style="7" customWidth="1"/>
  </cols>
  <sheetData>
    <row r="1" spans="1:8" ht="12.75">
      <c r="A1" s="7">
        <v>11430</v>
      </c>
      <c r="B1" s="7">
        <v>4.47</v>
      </c>
      <c r="C1" s="7">
        <v>2.75</v>
      </c>
      <c r="D1" s="7">
        <v>1.1</v>
      </c>
      <c r="E1" s="7">
        <v>4.5</v>
      </c>
      <c r="F1" s="7">
        <v>4.5</v>
      </c>
      <c r="G1" s="7">
        <v>1</v>
      </c>
      <c r="H1" s="7">
        <v>10</v>
      </c>
    </row>
    <row r="2" spans="1:8" ht="12.75">
      <c r="A2" s="7">
        <v>13210</v>
      </c>
      <c r="B2" s="7">
        <v>1.19</v>
      </c>
      <c r="C2" s="7">
        <v>0.75</v>
      </c>
      <c r="E2" s="7">
        <v>1.2</v>
      </c>
      <c r="G2" s="7">
        <v>0</v>
      </c>
      <c r="H2" s="7">
        <v>2</v>
      </c>
    </row>
    <row r="3" spans="1:8" ht="12.75">
      <c r="A3" s="7">
        <v>14017</v>
      </c>
      <c r="B3" s="7">
        <v>4.01</v>
      </c>
      <c r="C3" s="7">
        <v>1.75</v>
      </c>
      <c r="E3" s="7">
        <v>4</v>
      </c>
      <c r="G3" s="7">
        <v>0</v>
      </c>
      <c r="H3" s="7">
        <v>7</v>
      </c>
    </row>
    <row r="4" spans="1:8" ht="12.75">
      <c r="A4" s="7">
        <v>14075</v>
      </c>
      <c r="B4" s="7">
        <v>4.48</v>
      </c>
      <c r="C4" s="7">
        <v>3</v>
      </c>
      <c r="D4" s="7">
        <v>1.2</v>
      </c>
      <c r="E4" s="7">
        <v>4.5</v>
      </c>
      <c r="F4" s="7">
        <v>4.5</v>
      </c>
      <c r="G4" s="7">
        <v>1</v>
      </c>
      <c r="H4" s="7">
        <v>11</v>
      </c>
    </row>
    <row r="5" spans="1:8" ht="12.75">
      <c r="A5" s="7">
        <v>14134</v>
      </c>
      <c r="B5" s="7">
        <v>5.52</v>
      </c>
      <c r="C5" s="7">
        <v>1</v>
      </c>
      <c r="D5" s="7">
        <v>2.45</v>
      </c>
      <c r="E5" s="7">
        <v>5</v>
      </c>
      <c r="F5" s="7">
        <v>5</v>
      </c>
      <c r="G5" s="7">
        <v>1</v>
      </c>
      <c r="H5" s="7">
        <v>12</v>
      </c>
    </row>
    <row r="6" spans="1:8" ht="12.75">
      <c r="A6" s="7">
        <v>14337</v>
      </c>
      <c r="B6" s="7">
        <v>5.99</v>
      </c>
      <c r="C6" s="7">
        <v>2</v>
      </c>
      <c r="D6" s="7">
        <v>3</v>
      </c>
      <c r="E6" s="7">
        <v>6</v>
      </c>
      <c r="F6" s="7">
        <v>5.5</v>
      </c>
      <c r="G6" s="7">
        <v>1</v>
      </c>
      <c r="H6" s="7">
        <v>12</v>
      </c>
    </row>
    <row r="7" spans="1:8" ht="12.75">
      <c r="A7" s="7">
        <v>15003</v>
      </c>
      <c r="B7" s="7">
        <v>1.37</v>
      </c>
      <c r="C7" s="7">
        <v>0.5</v>
      </c>
      <c r="E7" s="7">
        <v>1.4</v>
      </c>
      <c r="G7" s="7">
        <v>0</v>
      </c>
      <c r="H7" s="7">
        <v>5</v>
      </c>
    </row>
    <row r="8" spans="1:8" ht="12.75">
      <c r="A8" s="7">
        <v>15009</v>
      </c>
      <c r="B8" s="7">
        <v>2.89</v>
      </c>
      <c r="C8" s="7">
        <v>2</v>
      </c>
      <c r="D8" s="7">
        <v>2.45</v>
      </c>
      <c r="E8" s="7">
        <v>4.5</v>
      </c>
      <c r="F8" s="7">
        <v>4.5</v>
      </c>
      <c r="G8" s="7">
        <v>1</v>
      </c>
      <c r="H8" s="7">
        <v>8</v>
      </c>
    </row>
    <row r="9" spans="1:8" ht="12.75">
      <c r="A9" s="7">
        <v>15017</v>
      </c>
      <c r="B9" s="7">
        <v>7.83</v>
      </c>
      <c r="C9" s="7">
        <v>3.75</v>
      </c>
      <c r="D9" s="7">
        <v>4.1</v>
      </c>
      <c r="E9" s="7">
        <v>7.8</v>
      </c>
      <c r="F9" s="7">
        <v>6.4</v>
      </c>
      <c r="G9" s="7">
        <v>1</v>
      </c>
      <c r="H9" s="7">
        <v>12</v>
      </c>
    </row>
    <row r="10" spans="1:8" ht="12.75">
      <c r="A10" s="7">
        <v>15054</v>
      </c>
      <c r="B10" s="7">
        <v>5.91</v>
      </c>
      <c r="C10" s="7">
        <v>1.5</v>
      </c>
      <c r="D10" s="7">
        <v>2.2</v>
      </c>
      <c r="E10" s="7">
        <v>5</v>
      </c>
      <c r="F10" s="7">
        <v>5</v>
      </c>
      <c r="G10" s="7">
        <v>1</v>
      </c>
      <c r="H10" s="7">
        <v>12</v>
      </c>
    </row>
    <row r="11" spans="1:8" ht="12.75">
      <c r="A11" s="7">
        <v>15068</v>
      </c>
      <c r="B11" s="7">
        <v>8.59</v>
      </c>
      <c r="C11" s="7">
        <v>5</v>
      </c>
      <c r="D11" s="7">
        <v>3.55</v>
      </c>
      <c r="E11" s="7">
        <v>8.6</v>
      </c>
      <c r="F11" s="7">
        <v>6.8</v>
      </c>
      <c r="G11" s="7">
        <v>1</v>
      </c>
      <c r="H11" s="7">
        <v>12</v>
      </c>
    </row>
    <row r="12" spans="1:8" ht="12.75">
      <c r="A12" s="7">
        <v>15085</v>
      </c>
      <c r="B12" s="7">
        <v>2.36</v>
      </c>
      <c r="C12" s="7">
        <v>2</v>
      </c>
      <c r="D12" s="7">
        <v>0.2</v>
      </c>
      <c r="E12" s="7">
        <v>2.4</v>
      </c>
      <c r="F12" s="7">
        <v>2.4</v>
      </c>
      <c r="G12" s="7">
        <v>1</v>
      </c>
      <c r="H12" s="7">
        <v>10</v>
      </c>
    </row>
    <row r="13" spans="1:8" ht="12.75">
      <c r="A13" s="7">
        <v>15118</v>
      </c>
      <c r="B13" s="7">
        <v>2.48</v>
      </c>
      <c r="C13" s="7">
        <v>2.75</v>
      </c>
      <c r="D13" s="7">
        <v>0.85</v>
      </c>
      <c r="E13" s="7">
        <v>3.6</v>
      </c>
      <c r="F13" s="7">
        <v>3.6</v>
      </c>
      <c r="G13" s="7">
        <v>1</v>
      </c>
      <c r="H13" s="7">
        <v>6</v>
      </c>
    </row>
    <row r="14" spans="1:8" ht="12.75">
      <c r="A14" s="7">
        <v>15132</v>
      </c>
      <c r="B14" s="7">
        <v>2.27</v>
      </c>
      <c r="C14" s="7">
        <v>2.4</v>
      </c>
      <c r="D14" s="7">
        <v>1.25</v>
      </c>
      <c r="E14" s="7">
        <v>3.6</v>
      </c>
      <c r="F14" s="7">
        <v>3.6</v>
      </c>
      <c r="G14" s="7">
        <v>1</v>
      </c>
      <c r="H14" s="7">
        <v>5</v>
      </c>
    </row>
    <row r="15" spans="1:8" ht="12.75">
      <c r="A15" s="7">
        <v>15160</v>
      </c>
      <c r="B15" s="7">
        <v>0.569</v>
      </c>
      <c r="C15" s="7">
        <v>0.5</v>
      </c>
      <c r="E15" s="7">
        <v>0.57</v>
      </c>
      <c r="G15" s="7">
        <v>0</v>
      </c>
      <c r="H15" s="7">
        <v>2</v>
      </c>
    </row>
    <row r="16" spans="1:8" ht="12.75">
      <c r="A16" s="7">
        <v>15161</v>
      </c>
      <c r="B16" s="7">
        <v>4.87</v>
      </c>
      <c r="C16" s="7">
        <v>1.25</v>
      </c>
      <c r="D16" s="7">
        <v>1.65</v>
      </c>
      <c r="E16" s="7">
        <v>4.9</v>
      </c>
      <c r="F16" s="7">
        <v>4.9</v>
      </c>
      <c r="G16" s="7">
        <v>1</v>
      </c>
      <c r="H16" s="7">
        <v>11</v>
      </c>
    </row>
    <row r="17" spans="1:8" ht="12.75">
      <c r="A17" s="7">
        <v>15176</v>
      </c>
      <c r="B17" s="7">
        <v>3.79</v>
      </c>
      <c r="C17" s="7">
        <v>1</v>
      </c>
      <c r="E17" s="7">
        <v>3.8</v>
      </c>
      <c r="F17" s="7">
        <v>3.8</v>
      </c>
      <c r="G17" s="7">
        <v>0</v>
      </c>
      <c r="H17" s="7">
        <v>10</v>
      </c>
    </row>
    <row r="18" spans="1:8" ht="12.75">
      <c r="A18" s="7">
        <v>15283</v>
      </c>
      <c r="B18" s="7">
        <v>0.7</v>
      </c>
      <c r="E18" s="7">
        <v>0.7</v>
      </c>
      <c r="G18" s="7">
        <v>0</v>
      </c>
      <c r="H18" s="7">
        <v>1</v>
      </c>
    </row>
    <row r="19" spans="1:8" ht="12.75">
      <c r="A19" s="7">
        <v>15289</v>
      </c>
      <c r="B19" s="7">
        <v>5.81</v>
      </c>
      <c r="C19" s="7">
        <v>2.5</v>
      </c>
      <c r="D19" s="7">
        <v>4.5</v>
      </c>
      <c r="E19" s="7">
        <v>7</v>
      </c>
      <c r="F19" s="7">
        <v>6</v>
      </c>
      <c r="G19" s="7">
        <v>1</v>
      </c>
      <c r="H19" s="7">
        <v>12</v>
      </c>
    </row>
    <row r="20" spans="1:8" ht="12.75">
      <c r="A20" s="7">
        <v>15294</v>
      </c>
      <c r="B20" s="7">
        <v>5.8</v>
      </c>
      <c r="C20" s="7">
        <v>4</v>
      </c>
      <c r="D20" s="7">
        <v>3.55</v>
      </c>
      <c r="E20" s="7">
        <v>7.5</v>
      </c>
      <c r="F20" s="7">
        <v>6.3</v>
      </c>
      <c r="G20" s="7">
        <v>1</v>
      </c>
      <c r="H20" s="7">
        <v>12</v>
      </c>
    </row>
    <row r="21" spans="1:8" ht="12.75">
      <c r="A21" s="7">
        <v>15319</v>
      </c>
      <c r="B21" s="7">
        <v>1.9</v>
      </c>
      <c r="C21" s="7">
        <v>0</v>
      </c>
      <c r="E21" s="7">
        <v>1.9</v>
      </c>
      <c r="G21" s="7">
        <v>0</v>
      </c>
      <c r="H21" s="7">
        <v>5</v>
      </c>
    </row>
    <row r="22" spans="1:8" ht="12.75">
      <c r="A22" s="7">
        <v>15335</v>
      </c>
      <c r="B22" s="7">
        <v>2.77</v>
      </c>
      <c r="C22" s="7">
        <v>1.5</v>
      </c>
      <c r="E22" s="7">
        <v>2.8</v>
      </c>
      <c r="F22" s="7">
        <v>2.8</v>
      </c>
      <c r="G22" s="7">
        <v>0</v>
      </c>
      <c r="H22" s="7">
        <v>8</v>
      </c>
    </row>
    <row r="23" spans="1:8" ht="12.75">
      <c r="A23" s="7">
        <v>15339</v>
      </c>
      <c r="B23" s="7">
        <v>2.19</v>
      </c>
      <c r="C23" s="7">
        <v>3</v>
      </c>
      <c r="D23" s="7">
        <v>1.65</v>
      </c>
      <c r="E23" s="7">
        <v>4.7</v>
      </c>
      <c r="F23" s="7">
        <v>4.7</v>
      </c>
      <c r="G23" s="7">
        <v>1</v>
      </c>
      <c r="H23" s="7">
        <v>5</v>
      </c>
    </row>
    <row r="24" spans="1:8" ht="12.75">
      <c r="A24" s="7">
        <v>15342</v>
      </c>
      <c r="B24" s="7">
        <v>1.73</v>
      </c>
      <c r="C24" s="7">
        <v>0.5</v>
      </c>
      <c r="D24" s="7">
        <v>1.25</v>
      </c>
      <c r="E24" s="7">
        <v>1.8</v>
      </c>
      <c r="F24" s="7">
        <v>1.8</v>
      </c>
      <c r="G24" s="7">
        <v>1</v>
      </c>
      <c r="H24" s="7">
        <v>7</v>
      </c>
    </row>
    <row r="25" spans="1:8" ht="12.75">
      <c r="A25" s="7">
        <v>15394</v>
      </c>
      <c r="B25" s="7">
        <v>8.86</v>
      </c>
      <c r="C25" s="7">
        <v>2.5</v>
      </c>
      <c r="D25" s="7">
        <v>4.35</v>
      </c>
      <c r="E25" s="7">
        <v>8.9</v>
      </c>
      <c r="F25" s="7">
        <v>6.9</v>
      </c>
      <c r="G25" s="7">
        <v>1</v>
      </c>
      <c r="H25" s="7">
        <v>12</v>
      </c>
    </row>
    <row r="26" spans="1:8" ht="12.75">
      <c r="A26" s="7">
        <v>15395</v>
      </c>
      <c r="B26" s="7">
        <v>1.93</v>
      </c>
      <c r="C26" s="7">
        <v>1.5</v>
      </c>
      <c r="E26" s="7">
        <v>1.9</v>
      </c>
      <c r="G26" s="7">
        <v>0</v>
      </c>
      <c r="H26" s="7">
        <v>6</v>
      </c>
    </row>
    <row r="27" spans="1:8" ht="12.75">
      <c r="A27" s="7">
        <v>15396</v>
      </c>
      <c r="B27" s="7">
        <v>7.17</v>
      </c>
      <c r="C27" s="7">
        <v>2.75</v>
      </c>
      <c r="D27" s="7">
        <v>1.9</v>
      </c>
      <c r="E27" s="7">
        <v>5</v>
      </c>
      <c r="F27" s="7">
        <v>5</v>
      </c>
      <c r="G27" s="7">
        <v>1</v>
      </c>
      <c r="H27" s="7">
        <v>12</v>
      </c>
    </row>
    <row r="28" spans="1:8" ht="12.75">
      <c r="A28" s="7">
        <v>15409</v>
      </c>
      <c r="B28" s="7">
        <v>6.61</v>
      </c>
      <c r="C28" s="7">
        <v>3.25</v>
      </c>
      <c r="D28" s="7">
        <v>1.65</v>
      </c>
      <c r="E28" s="7">
        <v>5</v>
      </c>
      <c r="F28" s="7">
        <v>5</v>
      </c>
      <c r="G28" s="7">
        <v>1</v>
      </c>
      <c r="H28" s="7">
        <v>12</v>
      </c>
    </row>
    <row r="29" spans="1:8" ht="12.75">
      <c r="A29" s="7">
        <v>15424</v>
      </c>
      <c r="B29" s="7">
        <v>0.806</v>
      </c>
      <c r="C29" s="7">
        <v>1.5</v>
      </c>
      <c r="E29" s="7">
        <v>1.5</v>
      </c>
      <c r="G29" s="7">
        <v>0</v>
      </c>
      <c r="H29" s="7">
        <v>3</v>
      </c>
    </row>
    <row r="30" spans="1:8" ht="12.75">
      <c r="A30" s="7">
        <v>15451</v>
      </c>
      <c r="B30" s="7">
        <v>0.967</v>
      </c>
      <c r="C30" s="7">
        <v>1</v>
      </c>
      <c r="E30" s="7">
        <v>1</v>
      </c>
      <c r="G30" s="7">
        <v>0</v>
      </c>
      <c r="H30" s="7">
        <v>3</v>
      </c>
    </row>
    <row r="31" spans="1:8" ht="12.75">
      <c r="A31" s="7">
        <v>15454</v>
      </c>
      <c r="B31" s="7">
        <v>6.82</v>
      </c>
      <c r="C31" s="7">
        <v>2.5</v>
      </c>
      <c r="D31" s="7">
        <v>4.35</v>
      </c>
      <c r="E31" s="7">
        <v>6.8</v>
      </c>
      <c r="F31" s="7">
        <v>5.9</v>
      </c>
      <c r="G31" s="7">
        <v>1</v>
      </c>
      <c r="H31" s="7">
        <v>12</v>
      </c>
    </row>
    <row r="32" spans="1:8" ht="12.75">
      <c r="A32" s="7">
        <v>15457</v>
      </c>
      <c r="B32" s="7">
        <v>5.45</v>
      </c>
      <c r="C32" s="7">
        <v>1</v>
      </c>
      <c r="D32" s="7">
        <v>1.4</v>
      </c>
      <c r="E32" s="7">
        <v>5</v>
      </c>
      <c r="F32" s="7">
        <v>5</v>
      </c>
      <c r="G32" s="7">
        <v>1</v>
      </c>
      <c r="H32" s="7">
        <v>12</v>
      </c>
    </row>
    <row r="33" spans="1:8" ht="12.75">
      <c r="A33" s="7">
        <v>15477</v>
      </c>
      <c r="B33" s="7">
        <v>1.72</v>
      </c>
      <c r="C33" s="7">
        <v>1.5</v>
      </c>
      <c r="E33" s="7">
        <v>1.7</v>
      </c>
      <c r="G33" s="7">
        <v>0</v>
      </c>
      <c r="H33" s="7">
        <v>4</v>
      </c>
    </row>
    <row r="34" spans="1:8" ht="12.75">
      <c r="A34" s="7">
        <v>15482</v>
      </c>
      <c r="B34" s="7">
        <v>1.79</v>
      </c>
      <c r="C34" s="7">
        <v>2.5</v>
      </c>
      <c r="D34" s="7">
        <v>2.9</v>
      </c>
      <c r="E34" s="7">
        <v>5</v>
      </c>
      <c r="F34" s="7">
        <v>5</v>
      </c>
      <c r="G34" s="7">
        <v>1</v>
      </c>
      <c r="H34" s="7">
        <v>9</v>
      </c>
    </row>
    <row r="35" spans="1:8" ht="12.75">
      <c r="A35" s="7">
        <v>15484</v>
      </c>
      <c r="B35" s="7">
        <v>4.24</v>
      </c>
      <c r="C35" s="7">
        <v>3</v>
      </c>
      <c r="D35" s="7">
        <v>2.45</v>
      </c>
      <c r="E35" s="7">
        <v>5</v>
      </c>
      <c r="F35" s="7">
        <v>5</v>
      </c>
      <c r="G35" s="7">
        <v>1</v>
      </c>
      <c r="H35" s="7">
        <v>12</v>
      </c>
    </row>
    <row r="36" spans="1:8" ht="12.75">
      <c r="A36" s="7">
        <v>15486</v>
      </c>
      <c r="B36" s="7">
        <v>3.72</v>
      </c>
      <c r="C36" s="7">
        <v>3.75</v>
      </c>
      <c r="D36" s="7">
        <v>2.75</v>
      </c>
      <c r="E36" s="7">
        <v>5</v>
      </c>
      <c r="F36" s="7">
        <v>5</v>
      </c>
      <c r="G36" s="7">
        <v>1</v>
      </c>
      <c r="H36" s="7">
        <v>7</v>
      </c>
    </row>
    <row r="37" spans="1:8" ht="12.75">
      <c r="A37" s="7">
        <v>15487</v>
      </c>
      <c r="B37" s="7">
        <v>6.84</v>
      </c>
      <c r="C37" s="7">
        <v>1</v>
      </c>
      <c r="D37" s="7">
        <v>1.9</v>
      </c>
      <c r="E37" s="7">
        <v>5</v>
      </c>
      <c r="F37" s="7">
        <v>5</v>
      </c>
      <c r="G37" s="7">
        <v>1</v>
      </c>
      <c r="H37" s="7">
        <v>12</v>
      </c>
    </row>
    <row r="38" spans="1:8" ht="12.75">
      <c r="A38" s="7">
        <v>15649</v>
      </c>
      <c r="B38" s="7">
        <v>3.58</v>
      </c>
      <c r="C38" s="7">
        <v>2</v>
      </c>
      <c r="D38" s="7">
        <v>1.55</v>
      </c>
      <c r="E38" s="7">
        <v>3.6</v>
      </c>
      <c r="F38" s="7">
        <v>3.6</v>
      </c>
      <c r="G38" s="7">
        <v>1</v>
      </c>
      <c r="H38" s="7">
        <v>10</v>
      </c>
    </row>
    <row r="39" spans="1:8" ht="12.75">
      <c r="A39" s="7">
        <v>16616</v>
      </c>
      <c r="B39" s="7">
        <v>1.06</v>
      </c>
      <c r="C39" s="7">
        <v>0.5</v>
      </c>
      <c r="E39" s="7">
        <v>1.1</v>
      </c>
      <c r="G39" s="7">
        <v>0</v>
      </c>
      <c r="H39" s="7">
        <v>4</v>
      </c>
    </row>
    <row r="40" spans="1:8" ht="12.75">
      <c r="A40" s="7">
        <v>16658</v>
      </c>
      <c r="B40" s="7">
        <v>2.66</v>
      </c>
      <c r="C40" s="7">
        <v>0.5</v>
      </c>
      <c r="E40" s="7">
        <v>2.7</v>
      </c>
      <c r="F40" s="7">
        <v>2.7</v>
      </c>
      <c r="G40" s="7">
        <v>0</v>
      </c>
      <c r="H40" s="7">
        <v>8</v>
      </c>
    </row>
  </sheetData>
  <sheetProtection/>
  <printOptions/>
  <pageMargins left="1" right="1" top="1.6666666666666667" bottom="1.6666666666666667" header="1" footer="1"/>
  <pageSetup cellComments="asDisplayed" fitToHeight="0" fitToWidth="0" horizontalDpi="600" verticalDpi="600" orientation="portrait" paperSize="9"/>
  <headerFooter alignWithMargins="0">
    <oddHeader>&amp;C</oddHeader>
    <oddFooter xml:space="preserve">&amp;CPage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2017-05-13T16:04:57Z</dcterms:created>
  <dcterms:modified xsi:type="dcterms:W3CDTF">2017-05-24T15:35:09Z</dcterms:modified>
  <cp:category/>
  <cp:version/>
  <cp:contentType/>
  <cp:contentStatus/>
</cp:coreProperties>
</file>